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784" activeTab="0"/>
  </bookViews>
  <sheets>
    <sheet name="公園（都道府県別）" sheetId="1" r:id="rId1"/>
    <sheet name="Sheet2" sheetId="2" state="hidden" r:id="rId2"/>
    <sheet name="Vlook" sheetId="3" state="hidden" r:id="rId3"/>
    <sheet name="集計" sheetId="4" state="hidden" r:id="rId4"/>
  </sheets>
  <definedNames>
    <definedName name="_xlnm.Print_Area" localSheetId="2">'Vlook'!$A$1:$AL$260</definedName>
    <definedName name="_xlnm.Print_Area" localSheetId="0">'公園（都道府県別）'!$A$1:$AL$260</definedName>
    <definedName name="_xlnm.Print_Titles" localSheetId="2">'Vlook'!$1:$7</definedName>
    <definedName name="_xlnm.Print_Titles" localSheetId="0">'公園（都道府県別）'!$1:$7</definedName>
    <definedName name="_xlnm.Print_Titles" localSheetId="3">'集計'!$A:$A</definedName>
  </definedNames>
  <calcPr fullCalcOnLoad="1"/>
</workbook>
</file>

<file path=xl/sharedStrings.xml><?xml version="1.0" encoding="utf-8"?>
<sst xmlns="http://schemas.openxmlformats.org/spreadsheetml/2006/main" count="1315" uniqueCount="112">
  <si>
    <t>(6)　公園</t>
  </si>
  <si>
    <t>地　区　公　園</t>
  </si>
  <si>
    <t>総　合　公　園</t>
  </si>
  <si>
    <t>運　動　公　園</t>
  </si>
  <si>
    <t>広　域　公　園</t>
  </si>
  <si>
    <t>箇所数</t>
  </si>
  <si>
    <t>面積</t>
  </si>
  <si>
    <t>都道府県名</t>
  </si>
  <si>
    <t>計</t>
  </si>
  <si>
    <t>街　区　公　園</t>
  </si>
  <si>
    <t>近　隣　公　園</t>
  </si>
  <si>
    <t>地　区　公　園</t>
  </si>
  <si>
    <t>総　合　公　園</t>
  </si>
  <si>
    <t>運　動　公　園</t>
  </si>
  <si>
    <t>風　致　公　園</t>
  </si>
  <si>
    <t>特　殊　公　園</t>
  </si>
  <si>
    <t>広　域　公　園</t>
  </si>
  <si>
    <t>街　区　公　園</t>
  </si>
  <si>
    <t>近　隣　公　園</t>
  </si>
  <si>
    <t>計画</t>
  </si>
  <si>
    <t>供用</t>
  </si>
  <si>
    <t xml:space="preserve">  都道府県別総括表</t>
  </si>
  <si>
    <t>Ａ</t>
  </si>
  <si>
    <t>Ｂ</t>
  </si>
  <si>
    <t>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</si>
  <si>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</si>
  <si>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</si>
  <si>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</si>
  <si>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</si>
  <si>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</si>
  <si>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</si>
  <si>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</si>
  <si>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</si>
  <si>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</si>
  <si>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</si>
  <si>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</si>
  <si>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</si>
  <si>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</si>
  <si>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</si>
  <si>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</si>
  <si>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</si>
  <si>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</si>
  <si>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</si>
  <si>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</si>
  <si>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</si>
  <si>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</si>
  <si>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</si>
  <si>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</si>
  <si>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</si>
  <si>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</si>
  <si>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</si>
  <si>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</si>
  <si>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</si>
  <si>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</si>
  <si>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</si>
  <si>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</si>
  <si>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</si>
  <si>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</si>
  <si>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</si>
  <si>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</si>
  <si>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</si>
  <si>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</si>
  <si>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</si>
  <si>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</si>
  <si>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</si>
  <si>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</si>
  <si>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</si>
  <si>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</si>
  <si>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</si>
  <si>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</si>
  <si>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</si>
  <si>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</si>
  <si>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26.3.31現在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</si>
  <si>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</si>
  <si>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</si>
  <si>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</si>
  <si>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</si>
  <si>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</si>
  <si>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</si>
  <si>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</si>
  <si>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</si>
  <si>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</si>
  <si>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風　致　公　園　以　外</t>
  </si>
  <si>
    <t>街　区　公　園</t>
  </si>
  <si>
    <t>近　隣　公　園</t>
  </si>
  <si>
    <t>風　致　公　園</t>
  </si>
  <si>
    <t>特　殊　公　園</t>
  </si>
  <si>
    <t>計</t>
  </si>
  <si>
    <t>都　市　数</t>
  </si>
  <si>
    <t>Ａ</t>
  </si>
  <si>
    <t>Ｂ</t>
  </si>
  <si>
    <t>Ｃ</t>
  </si>
  <si>
    <t>Ａ</t>
  </si>
  <si>
    <t>Ｂ</t>
  </si>
  <si>
    <t>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</si>
  <si>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</si>
  <si>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</si>
  <si>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</si>
  <si>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</si>
  <si>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</si>
  <si>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</si>
  <si>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</si>
  <si>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</si>
  <si>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</si>
  <si>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</si>
  <si>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沖縄</t>
  </si>
  <si>
    <t>全国計</t>
  </si>
  <si>
    <t>全国計</t>
  </si>
  <si>
    <t>沖縄県</t>
  </si>
  <si>
    <t>27.3.31現在</t>
  </si>
  <si>
    <t>茨城県</t>
  </si>
  <si>
    <t>茨   城   県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</si>
</sst>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0_);[Red]\(0\)"/>
    <numFmt numFmtId="181" formatCode="0.0_ "/>
    <numFmt numFmtId="182" formatCode="0.0_);[Red]\(0.0\)"/>
    <numFmt numFmtId="183" formatCode="0.00_);[Red]\(0.00\)"/>
    <numFmt numFmtId="184" formatCode="#,##0.0;[Red]\-#,##0.0"/>
    <numFmt numFmtId="185" formatCode="#,##0_);[Red]\(#,##0\)"/>
    <numFmt numFmtId="186" formatCode="#,##0.00_);[Red]\(#,##0.00\)"/>
    <numFmt numFmtId="187" formatCode="#,##0_ ;[Red]\-#,##0\ "/>
    <numFmt numFmtId="188" formatCode="0.0%"/>
    <numFmt numFmtId="189" formatCode="#,##0.00_ ;[Red]\-#,##0.00\ "/>
    <numFmt numFmtId="190" formatCode="#,##0.0_ ;[Red]\-#,##0.0\ "/>
    <numFmt numFmtId="191" formatCode="#,##0.000_ "/>
    <numFmt numFmtId="192" formatCode="#,##0.0_);[Red]\(#,##0.0\)"/>
    <numFmt numFmtId="193" formatCode="0.0"/>
    <numFmt numFmtId="194" formatCode="#,##0.000_);[Red]\(#,##0.000\)"/>
    <numFmt numFmtId="195" formatCode="#,##0.000000_);[Red]\(#,##0.000000\)"/>
    <numFmt numFmtId="196" formatCode="0.00_ "/>
    <numFmt numFmtId="197" formatCode="0.00_);\(0.00\)"/>
    <numFmt numFmtId="198" formatCode="0_ ;[Red]\-0\ "/>
    <numFmt numFmtId="199" formatCode="#,##0.0000_ "/>
    <numFmt numFmtId="200" formatCode="0.000_);[Red]\(0.000\)"/>
    <numFmt numFmtId="201" formatCode="0.0000_);[Red]\(0.0000\)"/>
    <numFmt numFmtId="202" formatCode="0.00000_);[Red]\(0.00000\)"/>
    <numFmt numFmtId="203" formatCode="0.000000_);[Red]\(0.000000\)"/>
    <numFmt numFmtId="204" formatCode="0.0000000_);[Red]\(0.0000000\)"/>
    <numFmt numFmtId="205" formatCode="0.00000000_);[Red]\(0.00000000\)"/>
    <numFmt numFmtId="206" formatCode="0.000000000_);[Red]\(0.000000000\)"/>
    <numFmt numFmtId="207" formatCode="0.0000000000_);[Red]\(0.0000000000\)"/>
    <numFmt numFmtId="208" formatCode="0.00000000000_);[Red]\(0.00000000000\)"/>
    <numFmt numFmtId="209" formatCode="0.000000000000_);[Red]\(0.000000000000\)"/>
    <numFmt numFmtId="210" formatCode="0.0000000000000_);[Red]\(0.0000000000000\)"/>
    <numFmt numFmtId="211" formatCode="0.00000000000000_);[Red]\(0.00000000000000\)"/>
    <numFmt numFmtId="212" formatCode="0.000000000000000_);[Red]\(0.000000000000000\)"/>
    <numFmt numFmtId="213" formatCode="0.0000000000000000_);[Red]\(0.0000000000000000\)"/>
    <numFmt numFmtId="214" formatCode="0.00000000000000000_);[Red]\(0.00000000000000000\)"/>
    <numFmt numFmtId="215" formatCode="0.000000000000000000_);[Red]\(0.000000000000000000\)"/>
    <numFmt numFmtId="216" formatCode="#,##0.0000_);[Red]\(#,##0.0000\)"/>
    <numFmt numFmtId="217" formatCode="#,##0.00000_);[Red]\(#,##0.00000\)"/>
    <numFmt numFmtId="218" formatCode="0.000"/>
    <numFmt numFmtId="219" formatCode="#,##0.000_ ;[Red]\-#,##0.000\ "/>
    <numFmt numFmtId="220" formatCode="#,##0.0000_ ;[Red]\-#,##0.0000\ "/>
    <numFmt numFmtId="221" formatCode="#,##0.00000_ ;[Red]\-#,##0.00000\ "/>
    <numFmt numFmtId="222" formatCode="#,##0.0"/>
    <numFmt numFmtId="223" formatCode="#,##0.000000000000000000_ "/>
    <numFmt numFmtId="224" formatCode="#,##0;&quot;▲ &quot;#,##0"/>
    <numFmt numFmtId="225" formatCode="#,##0.00;[Red]#,##0.00"/>
    <numFmt numFmtId="226" formatCode="#,##0.000;[Red]\-#,##0.000"/>
    <numFmt numFmtId="227" formatCode="#,##0.0000;[Red]\-#,##0.0000"/>
    <numFmt numFmtId="228" formatCode="&quot;¥&quot;#,##0;\-&quot;¥&quot;#,##0"/>
    <numFmt numFmtId="229" formatCode="&quot;¥&quot;#,##0;[Red]\-&quot;¥&quot;#,##0"/>
    <numFmt numFmtId="230" formatCode="&quot;¥&quot;#,##0.00;\-&quot;¥&quot;#,##0.00"/>
    <numFmt numFmtId="231" formatCode="&quot;¥&quot;#,##0.00;[Red]\-&quot;¥&quot;#,##0.00"/>
    <numFmt numFmtId="232" formatCode="_-&quot;¥&quot;* #,##0_-;\-&quot;¥&quot;* #,##0_-;_-&quot;¥&quot;* &quot;-&quot;_-;_-@_-"/>
    <numFmt numFmtId="233" formatCode="_-* #,##0_-;\-* #,##0_-;_-* &quot;-&quot;_-;_-@_-"/>
    <numFmt numFmtId="234" formatCode="_-&quot;¥&quot;* #,##0.00_-;\-&quot;¥&quot;* #,##0.00_-;_-&quot;¥&quot;* &quot;-&quot;??_-;_-@_-"/>
    <numFmt numFmtId="235" formatCode="_-* #,##0.00_-;\-* #,##0.00_-;_-* &quot;-&quot;??_-;_-@_-"/>
  </numFmts>
  <fonts count="47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40" fontId="0" fillId="0" borderId="0" xfId="51" applyNumberFormat="1" applyFont="1" applyFill="1" applyAlignment="1">
      <alignment horizontal="left" vertical="center"/>
    </xf>
    <xf numFmtId="40" fontId="0" fillId="0" borderId="0" xfId="51" applyNumberFormat="1" applyFont="1" applyFill="1" applyBorder="1" applyAlignment="1">
      <alignment horizontal="left" vertical="center"/>
    </xf>
    <xf numFmtId="38" fontId="0" fillId="0" borderId="0" xfId="5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62" applyFont="1" applyFill="1" applyBorder="1" applyAlignment="1">
      <alignment horizontal="right"/>
    </xf>
    <xf numFmtId="38" fontId="7" fillId="0" borderId="0" xfId="5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38" fontId="7" fillId="0" borderId="10" xfId="51" applyFont="1" applyFill="1" applyBorder="1" applyAlignment="1">
      <alignment horizontal="center" vertical="center"/>
    </xf>
    <xf numFmtId="38" fontId="7" fillId="0" borderId="0" xfId="5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0" fontId="7" fillId="0" borderId="10" xfId="51" applyNumberFormat="1" applyFont="1" applyFill="1" applyBorder="1" applyAlignment="1">
      <alignment horizontal="center" vertical="center"/>
    </xf>
    <xf numFmtId="40" fontId="7" fillId="0" borderId="11" xfId="51" applyNumberFormat="1" applyFont="1" applyFill="1" applyBorder="1" applyAlignment="1">
      <alignment horizontal="center" vertical="center"/>
    </xf>
    <xf numFmtId="40" fontId="7" fillId="0" borderId="12" xfId="51" applyNumberFormat="1" applyFont="1" applyFill="1" applyBorder="1" applyAlignment="1">
      <alignment horizontal="right" vertical="center"/>
    </xf>
    <xf numFmtId="38" fontId="8" fillId="0" borderId="0" xfId="51" applyNumberFormat="1" applyFont="1" applyFill="1" applyBorder="1" applyAlignment="1">
      <alignment vertical="center"/>
    </xf>
    <xf numFmtId="40" fontId="8" fillId="0" borderId="0" xfId="51" applyNumberFormat="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38" fontId="8" fillId="0" borderId="0" xfId="51" applyFont="1" applyFill="1" applyBorder="1" applyAlignment="1">
      <alignment horizontal="right" vertical="center"/>
    </xf>
    <xf numFmtId="38" fontId="7" fillId="0" borderId="0" xfId="51" applyNumberFormat="1" applyFont="1" applyFill="1" applyBorder="1" applyAlignment="1">
      <alignment/>
    </xf>
    <xf numFmtId="40" fontId="7" fillId="0" borderId="0" xfId="51" applyNumberFormat="1" applyFont="1" applyFill="1" applyBorder="1" applyAlignment="1">
      <alignment/>
    </xf>
    <xf numFmtId="38" fontId="0" fillId="0" borderId="0" xfId="51" applyFont="1" applyFill="1" applyAlignment="1">
      <alignment/>
    </xf>
    <xf numFmtId="0" fontId="0" fillId="0" borderId="0" xfId="0" applyFont="1" applyFill="1" applyAlignment="1">
      <alignment/>
    </xf>
    <xf numFmtId="40" fontId="10" fillId="0" borderId="0" xfId="51" applyNumberFormat="1" applyFont="1" applyFill="1" applyAlignment="1">
      <alignment/>
    </xf>
    <xf numFmtId="3" fontId="46" fillId="0" borderId="0" xfId="0" applyNumberFormat="1" applyFont="1" applyFill="1" applyBorder="1" applyAlignment="1" applyProtection="1" quotePrefix="1">
      <alignment vertical="top"/>
      <protection/>
    </xf>
    <xf numFmtId="4" fontId="46" fillId="0" borderId="0" xfId="0" applyNumberFormat="1" applyFont="1" applyFill="1" applyBorder="1" applyAlignment="1" applyProtection="1" quotePrefix="1">
      <alignment vertical="top"/>
      <protection/>
    </xf>
    <xf numFmtId="40" fontId="7" fillId="0" borderId="0" xfId="51" applyNumberFormat="1" applyFont="1" applyFill="1" applyAlignment="1">
      <alignment/>
    </xf>
    <xf numFmtId="0" fontId="0" fillId="0" borderId="13" xfId="0" applyFill="1" applyBorder="1" applyAlignment="1">
      <alignment/>
    </xf>
    <xf numFmtId="38" fontId="0" fillId="0" borderId="0" xfId="51" applyFont="1" applyFill="1" applyBorder="1" applyAlignment="1">
      <alignment horizontal="distributed"/>
    </xf>
    <xf numFmtId="40" fontId="0" fillId="0" borderId="0" xfId="51" applyNumberFormat="1" applyFont="1" applyFill="1" applyAlignment="1">
      <alignment/>
    </xf>
    <xf numFmtId="0" fontId="7" fillId="0" borderId="14" xfId="51" applyNumberFormat="1" applyFont="1" applyFill="1" applyBorder="1" applyAlignment="1">
      <alignment horizontal="distributed" vertical="center" wrapText="1"/>
    </xf>
    <xf numFmtId="38" fontId="8" fillId="0" borderId="15" xfId="51" applyFont="1" applyFill="1" applyBorder="1" applyAlignment="1">
      <alignment horizontal="distributed" vertical="center"/>
    </xf>
    <xf numFmtId="0" fontId="7" fillId="0" borderId="15" xfId="51" applyNumberFormat="1" applyFont="1" applyFill="1" applyBorder="1" applyAlignment="1">
      <alignment horizontal="distributed" vertical="center"/>
    </xf>
    <xf numFmtId="38" fontId="8" fillId="0" borderId="15" xfId="51" applyFont="1" applyFill="1" applyBorder="1" applyAlignment="1">
      <alignment horizontal="distributed" vertical="center"/>
    </xf>
    <xf numFmtId="0" fontId="7" fillId="0" borderId="16" xfId="51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8" fillId="0" borderId="15" xfId="51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0" fillId="0" borderId="10" xfId="51" applyFont="1" applyFill="1" applyBorder="1" applyAlignment="1">
      <alignment horizontal="center" vertical="center"/>
    </xf>
    <xf numFmtId="38" fontId="0" fillId="0" borderId="11" xfId="51" applyFont="1" applyFill="1" applyBorder="1" applyAlignment="1">
      <alignment horizontal="center" vertical="center"/>
    </xf>
    <xf numFmtId="38" fontId="0" fillId="0" borderId="10" xfId="51" applyNumberFormat="1" applyFont="1" applyFill="1" applyBorder="1" applyAlignment="1">
      <alignment horizontal="center" vertical="center"/>
    </xf>
    <xf numFmtId="38" fontId="0" fillId="0" borderId="11" xfId="51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distributed"/>
    </xf>
    <xf numFmtId="2" fontId="0" fillId="0" borderId="0" xfId="0" applyNumberFormat="1" applyAlignment="1">
      <alignment/>
    </xf>
    <xf numFmtId="0" fontId="0" fillId="34" borderId="10" xfId="0" applyFill="1" applyBorder="1" applyAlignment="1">
      <alignment horizontal="distributed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5" borderId="10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0" fillId="36" borderId="10" xfId="0" applyFill="1" applyBorder="1" applyAlignment="1">
      <alignment horizontal="distributed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12" borderId="10" xfId="0" applyFill="1" applyBorder="1" applyAlignment="1">
      <alignment horizontal="distributed"/>
    </xf>
    <xf numFmtId="0" fontId="0" fillId="12" borderId="0" xfId="0" applyFill="1" applyAlignment="1">
      <alignment/>
    </xf>
    <xf numFmtId="2" fontId="0" fillId="12" borderId="0" xfId="0" applyNumberFormat="1" applyFill="1" applyAlignment="1">
      <alignment/>
    </xf>
    <xf numFmtId="0" fontId="0" fillId="13" borderId="10" xfId="0" applyFill="1" applyBorder="1" applyAlignment="1">
      <alignment horizontal="distributed"/>
    </xf>
    <xf numFmtId="0" fontId="0" fillId="13" borderId="0" xfId="0" applyFill="1" applyAlignment="1">
      <alignment/>
    </xf>
    <xf numFmtId="2" fontId="0" fillId="13" borderId="0" xfId="0" applyNumberFormat="1" applyFill="1" applyAlignment="1">
      <alignment/>
    </xf>
    <xf numFmtId="0" fontId="0" fillId="37" borderId="10" xfId="0" applyFill="1" applyBorder="1" applyAlignment="1">
      <alignment horizontal="distributed"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0" fontId="0" fillId="38" borderId="10" xfId="0" applyFill="1" applyBorder="1" applyAlignment="1">
      <alignment horizontal="distributed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/>
    </xf>
    <xf numFmtId="0" fontId="0" fillId="3" borderId="10" xfId="0" applyFill="1" applyBorder="1" applyAlignment="1">
      <alignment horizontal="distributed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0" fillId="0" borderId="10" xfId="0" applyBorder="1" applyAlignment="1">
      <alignment horizontal="distributed"/>
    </xf>
    <xf numFmtId="0" fontId="0" fillId="0" borderId="0" xfId="0" applyAlignment="1">
      <alignment horizontal="distributed" vertical="center"/>
    </xf>
    <xf numFmtId="40" fontId="8" fillId="0" borderId="0" xfId="51" applyNumberFormat="1" applyFont="1" applyFill="1" applyBorder="1" applyAlignment="1">
      <alignment horizontal="right" vertical="center"/>
    </xf>
    <xf numFmtId="38" fontId="7" fillId="0" borderId="0" xfId="51" applyNumberFormat="1" applyFont="1" applyFill="1" applyBorder="1" applyAlignment="1">
      <alignment vertical="center"/>
    </xf>
    <xf numFmtId="40" fontId="7" fillId="0" borderId="0" xfId="51" applyNumberFormat="1" applyFont="1" applyFill="1" applyBorder="1" applyAlignment="1">
      <alignment vertical="center"/>
    </xf>
    <xf numFmtId="38" fontId="7" fillId="0" borderId="15" xfId="51" applyNumberFormat="1" applyFont="1" applyFill="1" applyBorder="1" applyAlignment="1">
      <alignment horizontal="center" vertical="center"/>
    </xf>
    <xf numFmtId="38" fontId="7" fillId="0" borderId="11" xfId="51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38" fontId="7" fillId="0" borderId="20" xfId="5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8" fontId="7" fillId="0" borderId="10" xfId="51" applyFont="1" applyFill="1" applyBorder="1" applyAlignment="1">
      <alignment horizontal="center" vertical="center"/>
    </xf>
    <xf numFmtId="38" fontId="7" fillId="0" borderId="10" xfId="51" applyFont="1" applyFill="1" applyBorder="1" applyAlignment="1">
      <alignment horizontal="distributed" vertical="center"/>
    </xf>
    <xf numFmtId="0" fontId="7" fillId="0" borderId="14" xfId="51" applyNumberFormat="1" applyFont="1" applyFill="1" applyBorder="1" applyAlignment="1">
      <alignment horizontal="distributed" vertical="center" wrapText="1"/>
    </xf>
    <xf numFmtId="0" fontId="7" fillId="0" borderId="15" xfId="51" applyNumberFormat="1" applyFont="1" applyFill="1" applyBorder="1" applyAlignment="1">
      <alignment horizontal="distributed" vertical="center" wrapText="1"/>
    </xf>
    <xf numFmtId="0" fontId="7" fillId="0" borderId="17" xfId="51" applyNumberFormat="1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8" fontId="0" fillId="0" borderId="11" xfId="51" applyFont="1" applyFill="1" applyBorder="1" applyAlignment="1">
      <alignment horizontal="center" vertical="center"/>
    </xf>
    <xf numFmtId="38" fontId="0" fillId="0" borderId="18" xfId="51" applyFont="1" applyFill="1" applyBorder="1" applyAlignment="1">
      <alignment horizontal="center" vertical="center"/>
    </xf>
    <xf numFmtId="38" fontId="0" fillId="0" borderId="19" xfId="51" applyFont="1" applyFill="1" applyBorder="1" applyAlignment="1">
      <alignment horizontal="center" vertical="center"/>
    </xf>
    <xf numFmtId="38" fontId="0" fillId="0" borderId="11" xfId="51" applyFont="1" applyFill="1" applyBorder="1" applyAlignment="1">
      <alignment horizontal="distributed" vertical="center"/>
    </xf>
    <xf numFmtId="38" fontId="0" fillId="0" borderId="11" xfId="51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8" fontId="0" fillId="0" borderId="10" xfId="5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TS507緑地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EL252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59765625" defaultRowHeight="8.25"/>
  <cols>
    <col min="1" max="1" width="30.796875" style="28" customWidth="1"/>
    <col min="2" max="9" width="30.19921875" style="29" customWidth="1"/>
    <col min="10" max="19" width="27.19921875" style="29" customWidth="1"/>
    <col min="20" max="20" width="30.796875" style="28" customWidth="1"/>
    <col min="21" max="28" width="30.19921875" style="29" customWidth="1"/>
    <col min="29" max="38" width="27.19921875" style="29" customWidth="1"/>
    <col min="39" max="39" width="13.19921875" style="21" bestFit="1" customWidth="1"/>
    <col min="40" max="40" width="15.796875" style="21" bestFit="1" customWidth="1"/>
    <col min="41" max="63" width="10" style="21" customWidth="1"/>
    <col min="64" max="16384" width="10" style="22" customWidth="1"/>
  </cols>
  <sheetData>
    <row r="1" spans="1:63" s="5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1" t="s">
        <v>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s="5" customFormat="1" ht="24" customHeight="1">
      <c r="A2" s="35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6" t="s">
        <v>109</v>
      </c>
      <c r="T2" s="35" t="s">
        <v>21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6"/>
      <c r="AL2" s="6" t="s">
        <v>109</v>
      </c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s="8" customFormat="1" ht="24" customHeight="1">
      <c r="A3" s="87" t="s">
        <v>7</v>
      </c>
      <c r="B3" s="86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 t="s">
        <v>7</v>
      </c>
      <c r="U3" s="86" t="s">
        <v>20</v>
      </c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78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s="8" customFormat="1" ht="24" customHeight="1">
      <c r="A4" s="88"/>
      <c r="B4" s="81" t="s">
        <v>9</v>
      </c>
      <c r="C4" s="82"/>
      <c r="D4" s="81" t="s">
        <v>10</v>
      </c>
      <c r="E4" s="82"/>
      <c r="F4" s="81" t="s">
        <v>11</v>
      </c>
      <c r="G4" s="82"/>
      <c r="H4" s="81" t="s">
        <v>12</v>
      </c>
      <c r="I4" s="82"/>
      <c r="J4" s="81" t="s">
        <v>13</v>
      </c>
      <c r="K4" s="82"/>
      <c r="L4" s="78" t="s">
        <v>15</v>
      </c>
      <c r="M4" s="79"/>
      <c r="N4" s="79"/>
      <c r="O4" s="80"/>
      <c r="P4" s="81" t="s">
        <v>16</v>
      </c>
      <c r="Q4" s="82"/>
      <c r="R4" s="81" t="s">
        <v>8</v>
      </c>
      <c r="S4" s="82"/>
      <c r="T4" s="88"/>
      <c r="U4" s="81" t="s">
        <v>17</v>
      </c>
      <c r="V4" s="82"/>
      <c r="W4" s="81" t="s">
        <v>18</v>
      </c>
      <c r="X4" s="82"/>
      <c r="Y4" s="81" t="s">
        <v>1</v>
      </c>
      <c r="Z4" s="82"/>
      <c r="AA4" s="81" t="s">
        <v>2</v>
      </c>
      <c r="AB4" s="82"/>
      <c r="AC4" s="81" t="s">
        <v>3</v>
      </c>
      <c r="AD4" s="82"/>
      <c r="AE4" s="78" t="s">
        <v>15</v>
      </c>
      <c r="AF4" s="79"/>
      <c r="AG4" s="79"/>
      <c r="AH4" s="80"/>
      <c r="AI4" s="81" t="s">
        <v>4</v>
      </c>
      <c r="AJ4" s="82"/>
      <c r="AK4" s="81" t="s">
        <v>8</v>
      </c>
      <c r="AL4" s="90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 s="11" customFormat="1" ht="24" customHeight="1">
      <c r="A5" s="88"/>
      <c r="B5" s="83"/>
      <c r="C5" s="84"/>
      <c r="D5" s="83"/>
      <c r="E5" s="84"/>
      <c r="F5" s="83"/>
      <c r="G5" s="84"/>
      <c r="H5" s="83"/>
      <c r="I5" s="84"/>
      <c r="J5" s="83"/>
      <c r="K5" s="84"/>
      <c r="L5" s="85" t="s">
        <v>14</v>
      </c>
      <c r="M5" s="85"/>
      <c r="N5" s="85" t="s">
        <v>82</v>
      </c>
      <c r="O5" s="85"/>
      <c r="P5" s="83"/>
      <c r="Q5" s="84"/>
      <c r="R5" s="83"/>
      <c r="S5" s="84"/>
      <c r="T5" s="88"/>
      <c r="U5" s="83"/>
      <c r="V5" s="84"/>
      <c r="W5" s="83"/>
      <c r="X5" s="84"/>
      <c r="Y5" s="83"/>
      <c r="Z5" s="84"/>
      <c r="AA5" s="83"/>
      <c r="AB5" s="84"/>
      <c r="AC5" s="83"/>
      <c r="AD5" s="84"/>
      <c r="AE5" s="85" t="s">
        <v>14</v>
      </c>
      <c r="AF5" s="85"/>
      <c r="AG5" s="85" t="s">
        <v>82</v>
      </c>
      <c r="AH5" s="85"/>
      <c r="AI5" s="83"/>
      <c r="AJ5" s="84"/>
      <c r="AK5" s="83"/>
      <c r="AL5" s="91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63" s="11" customFormat="1" ht="24" customHeight="1">
      <c r="A6" s="89"/>
      <c r="B6" s="9" t="s">
        <v>5</v>
      </c>
      <c r="C6" s="12" t="s">
        <v>6</v>
      </c>
      <c r="D6" s="9" t="s">
        <v>5</v>
      </c>
      <c r="E6" s="12" t="s">
        <v>6</v>
      </c>
      <c r="F6" s="9" t="s">
        <v>5</v>
      </c>
      <c r="G6" s="12" t="s">
        <v>6</v>
      </c>
      <c r="H6" s="9" t="s">
        <v>5</v>
      </c>
      <c r="I6" s="12" t="s">
        <v>6</v>
      </c>
      <c r="J6" s="9" t="s">
        <v>5</v>
      </c>
      <c r="K6" s="12" t="s">
        <v>6</v>
      </c>
      <c r="L6" s="9" t="s">
        <v>5</v>
      </c>
      <c r="M6" s="12" t="s">
        <v>6</v>
      </c>
      <c r="N6" s="9" t="s">
        <v>5</v>
      </c>
      <c r="O6" s="12" t="s">
        <v>6</v>
      </c>
      <c r="P6" s="9" t="s">
        <v>5</v>
      </c>
      <c r="Q6" s="12" t="s">
        <v>6</v>
      </c>
      <c r="R6" s="9" t="s">
        <v>5</v>
      </c>
      <c r="S6" s="12" t="s">
        <v>6</v>
      </c>
      <c r="T6" s="89"/>
      <c r="U6" s="9" t="s">
        <v>5</v>
      </c>
      <c r="V6" s="12" t="s">
        <v>6</v>
      </c>
      <c r="W6" s="9" t="s">
        <v>5</v>
      </c>
      <c r="X6" s="12" t="s">
        <v>6</v>
      </c>
      <c r="Y6" s="9" t="s">
        <v>5</v>
      </c>
      <c r="Z6" s="12" t="s">
        <v>6</v>
      </c>
      <c r="AA6" s="9" t="s">
        <v>5</v>
      </c>
      <c r="AB6" s="12" t="s">
        <v>6</v>
      </c>
      <c r="AC6" s="9" t="s">
        <v>5</v>
      </c>
      <c r="AD6" s="12" t="s">
        <v>6</v>
      </c>
      <c r="AE6" s="9" t="s">
        <v>5</v>
      </c>
      <c r="AF6" s="12" t="s">
        <v>6</v>
      </c>
      <c r="AG6" s="9" t="s">
        <v>5</v>
      </c>
      <c r="AH6" s="12" t="s">
        <v>6</v>
      </c>
      <c r="AI6" s="9" t="s">
        <v>5</v>
      </c>
      <c r="AJ6" s="12" t="s">
        <v>6</v>
      </c>
      <c r="AK6" s="9" t="s">
        <v>5</v>
      </c>
      <c r="AL6" s="13" t="s">
        <v>6</v>
      </c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s="11" customFormat="1" ht="13.5">
      <c r="A7" s="3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0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38" s="17" customFormat="1" ht="16.5" customHeight="1">
      <c r="A8" s="31" t="s">
        <v>73</v>
      </c>
      <c r="B8" s="15">
        <v>31731</v>
      </c>
      <c r="C8" s="16">
        <v>7803.330000000001</v>
      </c>
      <c r="D8" s="15">
        <v>4621</v>
      </c>
      <c r="E8" s="16">
        <v>9091.320000000002</v>
      </c>
      <c r="F8" s="15">
        <v>1237</v>
      </c>
      <c r="G8" s="16">
        <v>7101.399999999999</v>
      </c>
      <c r="H8" s="15">
        <v>1280</v>
      </c>
      <c r="I8" s="16">
        <v>35010.47000000001</v>
      </c>
      <c r="J8" s="15">
        <v>629</v>
      </c>
      <c r="K8" s="16">
        <v>12390.78</v>
      </c>
      <c r="L8" s="15">
        <v>404</v>
      </c>
      <c r="M8" s="16">
        <v>10240.52</v>
      </c>
      <c r="N8" s="15">
        <v>288</v>
      </c>
      <c r="O8" s="16">
        <v>3569.23</v>
      </c>
      <c r="P8" s="15">
        <v>211</v>
      </c>
      <c r="Q8" s="16">
        <v>26294.399999999998</v>
      </c>
      <c r="R8" s="15">
        <v>40402</v>
      </c>
      <c r="S8" s="16">
        <v>111517.70999999999</v>
      </c>
      <c r="T8" s="31" t="s">
        <v>107</v>
      </c>
      <c r="U8" s="15">
        <v>30364</v>
      </c>
      <c r="V8" s="16">
        <v>7338.3</v>
      </c>
      <c r="W8" s="15">
        <v>4129</v>
      </c>
      <c r="X8" s="16">
        <v>7498.229999999999</v>
      </c>
      <c r="Y8" s="15">
        <v>1150</v>
      </c>
      <c r="Z8" s="16">
        <v>5956.08</v>
      </c>
      <c r="AA8" s="15">
        <v>1198</v>
      </c>
      <c r="AB8" s="16">
        <v>23329.870000000003</v>
      </c>
      <c r="AC8" s="15">
        <v>601</v>
      </c>
      <c r="AD8" s="16">
        <v>9859.890000000001</v>
      </c>
      <c r="AE8" s="15">
        <v>345</v>
      </c>
      <c r="AF8" s="16">
        <v>5811.0199999999995</v>
      </c>
      <c r="AG8" s="15">
        <v>255</v>
      </c>
      <c r="AH8" s="16">
        <v>2028.07</v>
      </c>
      <c r="AI8" s="15">
        <v>204</v>
      </c>
      <c r="AJ8" s="16">
        <v>15699.63</v>
      </c>
      <c r="AK8" s="15">
        <v>38244</v>
      </c>
      <c r="AL8" s="16">
        <v>77523.28</v>
      </c>
    </row>
    <row r="9" spans="1:38" s="17" customFormat="1" ht="16.5" customHeight="1">
      <c r="A9" s="36" t="s">
        <v>22</v>
      </c>
      <c r="B9" s="15">
        <v>24287</v>
      </c>
      <c r="C9" s="16">
        <v>5876.420000000001</v>
      </c>
      <c r="D9" s="15">
        <v>2927</v>
      </c>
      <c r="E9" s="16">
        <v>5459.860000000001</v>
      </c>
      <c r="F9" s="15">
        <v>534</v>
      </c>
      <c r="G9" s="16">
        <v>2879.2</v>
      </c>
      <c r="H9" s="15">
        <v>365</v>
      </c>
      <c r="I9" s="16">
        <v>7725.37</v>
      </c>
      <c r="J9" s="15">
        <v>204</v>
      </c>
      <c r="K9" s="16">
        <v>3221.2000000000003</v>
      </c>
      <c r="L9" s="15">
        <v>104</v>
      </c>
      <c r="M9" s="16">
        <v>1458.12</v>
      </c>
      <c r="N9" s="15">
        <v>154</v>
      </c>
      <c r="O9" s="16">
        <v>1121.2300000000002</v>
      </c>
      <c r="P9" s="15">
        <v>22</v>
      </c>
      <c r="Q9" s="16">
        <v>1873.4</v>
      </c>
      <c r="R9" s="15">
        <v>28597</v>
      </c>
      <c r="S9" s="16">
        <v>29614.86</v>
      </c>
      <c r="T9" s="36" t="s">
        <v>22</v>
      </c>
      <c r="U9" s="15">
        <v>23415</v>
      </c>
      <c r="V9" s="16">
        <v>5564.31</v>
      </c>
      <c r="W9" s="15">
        <v>2669</v>
      </c>
      <c r="X9" s="16">
        <v>4587.3</v>
      </c>
      <c r="Y9" s="15">
        <v>501</v>
      </c>
      <c r="Z9" s="16">
        <v>2421.72</v>
      </c>
      <c r="AA9" s="15">
        <v>348</v>
      </c>
      <c r="AB9" s="16">
        <v>5945.26</v>
      </c>
      <c r="AC9" s="15">
        <v>197</v>
      </c>
      <c r="AD9" s="16">
        <v>2818.17</v>
      </c>
      <c r="AE9" s="15">
        <v>94</v>
      </c>
      <c r="AF9" s="16">
        <v>834.31</v>
      </c>
      <c r="AG9" s="15">
        <v>134</v>
      </c>
      <c r="AH9" s="16">
        <v>856.4799999999998</v>
      </c>
      <c r="AI9" s="15">
        <v>22</v>
      </c>
      <c r="AJ9" s="16">
        <v>1424.0000000000002</v>
      </c>
      <c r="AK9" s="15">
        <v>27386</v>
      </c>
      <c r="AL9" s="16">
        <v>24454.480000000003</v>
      </c>
    </row>
    <row r="10" spans="1:38" s="17" customFormat="1" ht="16.5" customHeight="1">
      <c r="A10" s="36" t="s">
        <v>23</v>
      </c>
      <c r="B10" s="15">
        <v>6042</v>
      </c>
      <c r="C10" s="16">
        <v>1534.9299999999996</v>
      </c>
      <c r="D10" s="15">
        <v>1185</v>
      </c>
      <c r="E10" s="16">
        <v>2482.2099999999996</v>
      </c>
      <c r="F10" s="15">
        <v>286</v>
      </c>
      <c r="G10" s="16">
        <v>1660.5000000000002</v>
      </c>
      <c r="H10" s="15">
        <v>227</v>
      </c>
      <c r="I10" s="16">
        <v>5409</v>
      </c>
      <c r="J10" s="15">
        <v>98</v>
      </c>
      <c r="K10" s="16">
        <v>1864.9</v>
      </c>
      <c r="L10" s="15">
        <v>52</v>
      </c>
      <c r="M10" s="16">
        <v>853.2</v>
      </c>
      <c r="N10" s="15">
        <v>41</v>
      </c>
      <c r="O10" s="16">
        <v>157.6</v>
      </c>
      <c r="P10" s="15">
        <v>12</v>
      </c>
      <c r="Q10" s="16">
        <v>978.1999999999998</v>
      </c>
      <c r="R10" s="15">
        <v>7940</v>
      </c>
      <c r="S10" s="16">
        <v>14939.31</v>
      </c>
      <c r="T10" s="36" t="s">
        <v>23</v>
      </c>
      <c r="U10" s="15">
        <v>5611</v>
      </c>
      <c r="V10" s="16">
        <v>1407.49</v>
      </c>
      <c r="W10" s="15">
        <v>1028</v>
      </c>
      <c r="X10" s="16">
        <v>2045.48</v>
      </c>
      <c r="Y10" s="15">
        <v>268</v>
      </c>
      <c r="Z10" s="16">
        <v>1398.65</v>
      </c>
      <c r="AA10" s="15">
        <v>207</v>
      </c>
      <c r="AB10" s="16">
        <v>3900.82</v>
      </c>
      <c r="AC10" s="15">
        <v>92</v>
      </c>
      <c r="AD10" s="16">
        <v>1529.6</v>
      </c>
      <c r="AE10" s="15">
        <v>46</v>
      </c>
      <c r="AF10" s="16">
        <v>475.8</v>
      </c>
      <c r="AG10" s="15">
        <v>34</v>
      </c>
      <c r="AH10" s="16">
        <v>104.46999999999997</v>
      </c>
      <c r="AI10" s="15">
        <v>11</v>
      </c>
      <c r="AJ10" s="16">
        <v>735.03</v>
      </c>
      <c r="AK10" s="15">
        <v>7292</v>
      </c>
      <c r="AL10" s="16">
        <v>11604.230000000001</v>
      </c>
    </row>
    <row r="11" spans="1:38" s="17" customFormat="1" ht="16.5" customHeight="1">
      <c r="A11" s="36" t="s">
        <v>24</v>
      </c>
      <c r="B11" s="15">
        <v>1402</v>
      </c>
      <c r="C11" s="16">
        <v>391.97999999999996</v>
      </c>
      <c r="D11" s="15">
        <v>509</v>
      </c>
      <c r="E11" s="16">
        <v>1149.2499999999998</v>
      </c>
      <c r="F11" s="15">
        <v>417</v>
      </c>
      <c r="G11" s="16">
        <v>2561.7000000000003</v>
      </c>
      <c r="H11" s="15">
        <v>688</v>
      </c>
      <c r="I11" s="16">
        <v>21876.1</v>
      </c>
      <c r="J11" s="15">
        <v>327</v>
      </c>
      <c r="K11" s="16">
        <v>7304.68</v>
      </c>
      <c r="L11" s="15">
        <v>248</v>
      </c>
      <c r="M11" s="16">
        <v>7929.200000000001</v>
      </c>
      <c r="N11" s="15">
        <v>93</v>
      </c>
      <c r="O11" s="16">
        <v>2290.4</v>
      </c>
      <c r="P11" s="15">
        <v>177</v>
      </c>
      <c r="Q11" s="16">
        <v>23442.8</v>
      </c>
      <c r="R11" s="15">
        <v>3865</v>
      </c>
      <c r="S11" s="16">
        <v>66963.54</v>
      </c>
      <c r="T11" s="36" t="s">
        <v>24</v>
      </c>
      <c r="U11" s="15">
        <v>1338</v>
      </c>
      <c r="V11" s="16">
        <v>366.49999999999994</v>
      </c>
      <c r="W11" s="15">
        <v>432</v>
      </c>
      <c r="X11" s="16">
        <v>865.4499999999998</v>
      </c>
      <c r="Y11" s="15">
        <v>381</v>
      </c>
      <c r="Z11" s="16">
        <v>2135.7100000000005</v>
      </c>
      <c r="AA11" s="15">
        <v>643</v>
      </c>
      <c r="AB11" s="16">
        <v>13483.789999999999</v>
      </c>
      <c r="AC11" s="15">
        <v>312</v>
      </c>
      <c r="AD11" s="16">
        <v>5512.120000000001</v>
      </c>
      <c r="AE11" s="15">
        <v>205</v>
      </c>
      <c r="AF11" s="16">
        <v>4500.909999999999</v>
      </c>
      <c r="AG11" s="15">
        <v>87</v>
      </c>
      <c r="AH11" s="16">
        <v>1067.12</v>
      </c>
      <c r="AI11" s="15">
        <v>171</v>
      </c>
      <c r="AJ11" s="16">
        <v>13540.6</v>
      </c>
      <c r="AK11" s="15">
        <v>3566</v>
      </c>
      <c r="AL11" s="16">
        <v>41464.57</v>
      </c>
    </row>
    <row r="12" spans="1:38" s="17" customFormat="1" ht="16.5" customHeight="1">
      <c r="A12" s="3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s="17" customFormat="1" ht="16.5" customHeight="1">
      <c r="A13" s="31" t="s">
        <v>25</v>
      </c>
      <c r="B13" s="15">
        <v>3318</v>
      </c>
      <c r="C13" s="16">
        <v>770.2</v>
      </c>
      <c r="D13" s="15">
        <v>463</v>
      </c>
      <c r="E13" s="16">
        <v>894.5</v>
      </c>
      <c r="F13" s="15">
        <v>102</v>
      </c>
      <c r="G13" s="16">
        <v>555.5999999999999</v>
      </c>
      <c r="H13" s="15">
        <v>97</v>
      </c>
      <c r="I13" s="16">
        <v>3444.3</v>
      </c>
      <c r="J13" s="15">
        <v>49</v>
      </c>
      <c r="K13" s="16">
        <v>1143</v>
      </c>
      <c r="L13" s="15">
        <v>15</v>
      </c>
      <c r="M13" s="16">
        <v>595.0999999999999</v>
      </c>
      <c r="N13" s="15">
        <v>11</v>
      </c>
      <c r="O13" s="16">
        <v>644.3000000000001</v>
      </c>
      <c r="P13" s="15">
        <v>12</v>
      </c>
      <c r="Q13" s="16">
        <v>1672.2</v>
      </c>
      <c r="R13" s="15">
        <v>4067</v>
      </c>
      <c r="S13" s="16">
        <v>9719.2</v>
      </c>
      <c r="T13" s="31" t="s">
        <v>25</v>
      </c>
      <c r="U13" s="15">
        <v>3237</v>
      </c>
      <c r="V13" s="16">
        <v>748.89</v>
      </c>
      <c r="W13" s="15">
        <v>446</v>
      </c>
      <c r="X13" s="16">
        <v>850.3999999999999</v>
      </c>
      <c r="Y13" s="15">
        <v>97</v>
      </c>
      <c r="Z13" s="16">
        <v>512.6</v>
      </c>
      <c r="AA13" s="15">
        <v>91</v>
      </c>
      <c r="AB13" s="16">
        <v>2830.2999999999997</v>
      </c>
      <c r="AC13" s="15">
        <v>48</v>
      </c>
      <c r="AD13" s="16">
        <v>932.8</v>
      </c>
      <c r="AE13" s="15">
        <v>14</v>
      </c>
      <c r="AF13" s="16">
        <v>566.1999999999999</v>
      </c>
      <c r="AG13" s="15">
        <v>11</v>
      </c>
      <c r="AH13" s="16">
        <v>170.4</v>
      </c>
      <c r="AI13" s="15">
        <v>12</v>
      </c>
      <c r="AJ13" s="16">
        <v>1390.8</v>
      </c>
      <c r="AK13" s="15">
        <v>3956</v>
      </c>
      <c r="AL13" s="16">
        <v>8002.389999999999</v>
      </c>
    </row>
    <row r="14" spans="1:38" s="17" customFormat="1" ht="16.5" customHeight="1">
      <c r="A14" s="36" t="s">
        <v>22</v>
      </c>
      <c r="B14" s="15">
        <v>2570</v>
      </c>
      <c r="C14" s="16">
        <v>582.88</v>
      </c>
      <c r="D14" s="15">
        <v>297</v>
      </c>
      <c r="E14" s="16">
        <v>529.1</v>
      </c>
      <c r="F14" s="15">
        <v>50</v>
      </c>
      <c r="G14" s="16">
        <v>282.9</v>
      </c>
      <c r="H14" s="15">
        <v>26</v>
      </c>
      <c r="I14" s="16">
        <v>698.1</v>
      </c>
      <c r="J14" s="15">
        <v>16</v>
      </c>
      <c r="K14" s="16">
        <v>247.6</v>
      </c>
      <c r="L14" s="15">
        <v>1</v>
      </c>
      <c r="M14" s="16">
        <v>0.6</v>
      </c>
      <c r="N14" s="15">
        <v>2</v>
      </c>
      <c r="O14" s="16">
        <v>3.6</v>
      </c>
      <c r="P14" s="15">
        <v>0</v>
      </c>
      <c r="Q14" s="16">
        <v>16</v>
      </c>
      <c r="R14" s="15">
        <v>2962</v>
      </c>
      <c r="S14" s="16">
        <v>2360.78</v>
      </c>
      <c r="T14" s="36" t="s">
        <v>22</v>
      </c>
      <c r="U14" s="15">
        <v>2543</v>
      </c>
      <c r="V14" s="16">
        <v>576.66</v>
      </c>
      <c r="W14" s="15">
        <v>292</v>
      </c>
      <c r="X14" s="16">
        <v>517.3</v>
      </c>
      <c r="Y14" s="15">
        <v>50</v>
      </c>
      <c r="Z14" s="16">
        <v>277.5</v>
      </c>
      <c r="AA14" s="15">
        <v>26</v>
      </c>
      <c r="AB14" s="16">
        <v>601.9</v>
      </c>
      <c r="AC14" s="15">
        <v>16</v>
      </c>
      <c r="AD14" s="16">
        <v>245.2</v>
      </c>
      <c r="AE14" s="15">
        <v>1</v>
      </c>
      <c r="AF14" s="16">
        <v>0.6</v>
      </c>
      <c r="AG14" s="15">
        <v>2</v>
      </c>
      <c r="AH14" s="16">
        <v>3.5</v>
      </c>
      <c r="AI14" s="15">
        <v>0</v>
      </c>
      <c r="AJ14" s="16">
        <v>16</v>
      </c>
      <c r="AK14" s="15">
        <v>2930</v>
      </c>
      <c r="AL14" s="16">
        <v>2238.66</v>
      </c>
    </row>
    <row r="15" spans="1:38" s="17" customFormat="1" ht="16.5" customHeight="1">
      <c r="A15" s="36" t="s">
        <v>23</v>
      </c>
      <c r="B15" s="15">
        <v>730</v>
      </c>
      <c r="C15" s="16">
        <v>181.13</v>
      </c>
      <c r="D15" s="15">
        <v>151</v>
      </c>
      <c r="E15" s="16">
        <v>321.5</v>
      </c>
      <c r="F15" s="15">
        <v>41</v>
      </c>
      <c r="G15" s="16">
        <v>207.7</v>
      </c>
      <c r="H15" s="15">
        <v>31</v>
      </c>
      <c r="I15" s="16">
        <v>733.5</v>
      </c>
      <c r="J15" s="15">
        <v>11</v>
      </c>
      <c r="K15" s="16">
        <v>211.4</v>
      </c>
      <c r="L15" s="15">
        <v>2</v>
      </c>
      <c r="M15" s="16">
        <v>9.2</v>
      </c>
      <c r="N15" s="15">
        <v>3</v>
      </c>
      <c r="O15" s="16">
        <v>21.6</v>
      </c>
      <c r="P15" s="15">
        <v>1</v>
      </c>
      <c r="Q15" s="16">
        <v>68.7</v>
      </c>
      <c r="R15" s="15">
        <v>970</v>
      </c>
      <c r="S15" s="16">
        <v>1754.73</v>
      </c>
      <c r="T15" s="36" t="s">
        <v>23</v>
      </c>
      <c r="U15" s="15">
        <v>680</v>
      </c>
      <c r="V15" s="16">
        <v>167.61</v>
      </c>
      <c r="W15" s="15">
        <v>140</v>
      </c>
      <c r="X15" s="16">
        <v>295.8</v>
      </c>
      <c r="Y15" s="15">
        <v>36</v>
      </c>
      <c r="Z15" s="16">
        <v>174.6</v>
      </c>
      <c r="AA15" s="15">
        <v>30</v>
      </c>
      <c r="AB15" s="16">
        <v>657.8</v>
      </c>
      <c r="AC15" s="15">
        <v>12</v>
      </c>
      <c r="AD15" s="16">
        <v>190.2</v>
      </c>
      <c r="AE15" s="15">
        <v>2</v>
      </c>
      <c r="AF15" s="16">
        <v>9.2</v>
      </c>
      <c r="AG15" s="15">
        <v>3</v>
      </c>
      <c r="AH15" s="16">
        <v>21.5</v>
      </c>
      <c r="AI15" s="15">
        <v>1</v>
      </c>
      <c r="AJ15" s="16">
        <v>68.7</v>
      </c>
      <c r="AK15" s="15">
        <v>904</v>
      </c>
      <c r="AL15" s="16">
        <v>1585.41</v>
      </c>
    </row>
    <row r="16" spans="1:38" s="17" customFormat="1" ht="16.5" customHeight="1">
      <c r="A16" s="36" t="s">
        <v>24</v>
      </c>
      <c r="B16" s="15">
        <v>18</v>
      </c>
      <c r="C16" s="16">
        <v>6.19</v>
      </c>
      <c r="D16" s="15">
        <v>15</v>
      </c>
      <c r="E16" s="16">
        <v>43.9</v>
      </c>
      <c r="F16" s="15">
        <v>11</v>
      </c>
      <c r="G16" s="16">
        <v>65</v>
      </c>
      <c r="H16" s="15">
        <v>40</v>
      </c>
      <c r="I16" s="16">
        <v>2012.7</v>
      </c>
      <c r="J16" s="15">
        <v>22</v>
      </c>
      <c r="K16" s="16">
        <v>684</v>
      </c>
      <c r="L16" s="15">
        <v>12</v>
      </c>
      <c r="M16" s="16">
        <v>585.3</v>
      </c>
      <c r="N16" s="15">
        <v>6</v>
      </c>
      <c r="O16" s="16">
        <v>619.1</v>
      </c>
      <c r="P16" s="15">
        <v>11</v>
      </c>
      <c r="Q16" s="16">
        <v>1587.5</v>
      </c>
      <c r="R16" s="15">
        <v>135</v>
      </c>
      <c r="S16" s="16">
        <v>5603.69</v>
      </c>
      <c r="T16" s="36" t="s">
        <v>24</v>
      </c>
      <c r="U16" s="15">
        <v>14</v>
      </c>
      <c r="V16" s="16">
        <v>4.62</v>
      </c>
      <c r="W16" s="15">
        <v>14</v>
      </c>
      <c r="X16" s="16">
        <v>37.3</v>
      </c>
      <c r="Y16" s="15">
        <v>11</v>
      </c>
      <c r="Z16" s="16">
        <v>60.5</v>
      </c>
      <c r="AA16" s="15">
        <v>35</v>
      </c>
      <c r="AB16" s="16">
        <v>1570.6</v>
      </c>
      <c r="AC16" s="15">
        <v>20</v>
      </c>
      <c r="AD16" s="16">
        <v>497.4</v>
      </c>
      <c r="AE16" s="15">
        <v>11</v>
      </c>
      <c r="AF16" s="16">
        <v>556.4</v>
      </c>
      <c r="AG16" s="15">
        <v>6</v>
      </c>
      <c r="AH16" s="16">
        <v>145.4</v>
      </c>
      <c r="AI16" s="15">
        <v>11</v>
      </c>
      <c r="AJ16" s="16">
        <v>1306.1</v>
      </c>
      <c r="AK16" s="15">
        <v>122</v>
      </c>
      <c r="AL16" s="16">
        <v>4178.32</v>
      </c>
    </row>
    <row r="17" spans="1:38" s="18" customFormat="1" ht="16.5" customHeight="1">
      <c r="A17" s="31" t="s">
        <v>74</v>
      </c>
      <c r="B17" s="15">
        <v>2757</v>
      </c>
      <c r="C17" s="16">
        <v>721.44</v>
      </c>
      <c r="D17" s="15">
        <v>348</v>
      </c>
      <c r="E17" s="16">
        <v>675.45</v>
      </c>
      <c r="F17" s="15">
        <v>115</v>
      </c>
      <c r="G17" s="16">
        <v>723.8</v>
      </c>
      <c r="H17" s="15">
        <v>127</v>
      </c>
      <c r="I17" s="16">
        <v>3989.5</v>
      </c>
      <c r="J17" s="15">
        <v>60</v>
      </c>
      <c r="K17" s="16">
        <v>1335.8</v>
      </c>
      <c r="L17" s="15">
        <v>40</v>
      </c>
      <c r="M17" s="16">
        <v>1750.1999999999998</v>
      </c>
      <c r="N17" s="15">
        <v>20</v>
      </c>
      <c r="O17" s="16">
        <v>146.23000000000002</v>
      </c>
      <c r="P17" s="15">
        <v>20</v>
      </c>
      <c r="Q17" s="16">
        <v>4219.6</v>
      </c>
      <c r="R17" s="15">
        <v>3488</v>
      </c>
      <c r="S17" s="16">
        <v>13581.719999999998</v>
      </c>
      <c r="T17" s="31" t="s">
        <v>74</v>
      </c>
      <c r="U17" s="15">
        <v>2565</v>
      </c>
      <c r="V17" s="16">
        <v>660.09</v>
      </c>
      <c r="W17" s="15">
        <v>313</v>
      </c>
      <c r="X17" s="16">
        <v>591</v>
      </c>
      <c r="Y17" s="15">
        <v>107</v>
      </c>
      <c r="Z17" s="16">
        <v>631.8</v>
      </c>
      <c r="AA17" s="15">
        <v>121</v>
      </c>
      <c r="AB17" s="16">
        <v>2753.8700000000003</v>
      </c>
      <c r="AC17" s="15">
        <v>58</v>
      </c>
      <c r="AD17" s="16">
        <v>987.6</v>
      </c>
      <c r="AE17" s="15">
        <v>36</v>
      </c>
      <c r="AF17" s="16">
        <v>768.3499999999999</v>
      </c>
      <c r="AG17" s="15">
        <v>19</v>
      </c>
      <c r="AH17" s="16">
        <v>90</v>
      </c>
      <c r="AI17" s="15">
        <v>20</v>
      </c>
      <c r="AJ17" s="16">
        <v>1825.5</v>
      </c>
      <c r="AK17" s="15">
        <v>3239</v>
      </c>
      <c r="AL17" s="16">
        <v>8308.2</v>
      </c>
    </row>
    <row r="18" spans="1:38" s="18" customFormat="1" ht="16.5" customHeight="1">
      <c r="A18" s="36" t="s">
        <v>22</v>
      </c>
      <c r="B18" s="15">
        <v>1775</v>
      </c>
      <c r="C18" s="16">
        <v>449.8</v>
      </c>
      <c r="D18" s="15">
        <v>173</v>
      </c>
      <c r="E18" s="16">
        <v>315.9</v>
      </c>
      <c r="F18" s="15">
        <v>35</v>
      </c>
      <c r="G18" s="16">
        <v>197.29999999999998</v>
      </c>
      <c r="H18" s="15">
        <v>22</v>
      </c>
      <c r="I18" s="16">
        <v>412.8</v>
      </c>
      <c r="J18" s="15">
        <v>13</v>
      </c>
      <c r="K18" s="16">
        <v>225.49999999999997</v>
      </c>
      <c r="L18" s="15">
        <v>6</v>
      </c>
      <c r="M18" s="16">
        <v>118.3</v>
      </c>
      <c r="N18" s="15">
        <v>9</v>
      </c>
      <c r="O18" s="16">
        <v>51.730000000000004</v>
      </c>
      <c r="P18" s="15">
        <v>1</v>
      </c>
      <c r="Q18" s="16">
        <v>74.8</v>
      </c>
      <c r="R18" s="15">
        <v>2034</v>
      </c>
      <c r="S18" s="16">
        <v>1846.13</v>
      </c>
      <c r="T18" s="36" t="s">
        <v>22</v>
      </c>
      <c r="U18" s="15">
        <v>1666</v>
      </c>
      <c r="V18" s="16">
        <v>414.5</v>
      </c>
      <c r="W18" s="15">
        <v>160</v>
      </c>
      <c r="X18" s="16">
        <v>288.84000000000003</v>
      </c>
      <c r="Y18" s="15">
        <v>33</v>
      </c>
      <c r="Z18" s="16">
        <v>184.79999999999998</v>
      </c>
      <c r="AA18" s="15">
        <v>22</v>
      </c>
      <c r="AB18" s="16">
        <v>399.84</v>
      </c>
      <c r="AC18" s="15">
        <v>12</v>
      </c>
      <c r="AD18" s="16">
        <v>206.99999999999997</v>
      </c>
      <c r="AE18" s="15">
        <v>6</v>
      </c>
      <c r="AF18" s="16">
        <v>100.9</v>
      </c>
      <c r="AG18" s="15">
        <v>8</v>
      </c>
      <c r="AH18" s="16">
        <v>12.5</v>
      </c>
      <c r="AI18" s="15">
        <v>1</v>
      </c>
      <c r="AJ18" s="16">
        <v>66</v>
      </c>
      <c r="AK18" s="15">
        <v>1908</v>
      </c>
      <c r="AL18" s="16">
        <v>1674.38</v>
      </c>
    </row>
    <row r="19" spans="1:38" s="18" customFormat="1" ht="16.5" customHeight="1">
      <c r="A19" s="36" t="s">
        <v>23</v>
      </c>
      <c r="B19" s="15">
        <v>863</v>
      </c>
      <c r="C19" s="16">
        <v>230.67</v>
      </c>
      <c r="D19" s="15">
        <v>137</v>
      </c>
      <c r="E19" s="16">
        <v>271.45</v>
      </c>
      <c r="F19" s="15">
        <v>31</v>
      </c>
      <c r="G19" s="16">
        <v>199.1</v>
      </c>
      <c r="H19" s="15">
        <v>29</v>
      </c>
      <c r="I19" s="16">
        <v>831.1999999999999</v>
      </c>
      <c r="J19" s="15">
        <v>8</v>
      </c>
      <c r="K19" s="16">
        <v>139.9</v>
      </c>
      <c r="L19" s="15">
        <v>4</v>
      </c>
      <c r="M19" s="16">
        <v>58</v>
      </c>
      <c r="N19" s="15">
        <v>3</v>
      </c>
      <c r="O19" s="16">
        <v>14.2</v>
      </c>
      <c r="P19" s="15">
        <v>1</v>
      </c>
      <c r="Q19" s="16">
        <v>289.2</v>
      </c>
      <c r="R19" s="15">
        <v>1076</v>
      </c>
      <c r="S19" s="16">
        <v>2033.72</v>
      </c>
      <c r="T19" s="36" t="s">
        <v>23</v>
      </c>
      <c r="U19" s="15">
        <v>787</v>
      </c>
      <c r="V19" s="16">
        <v>207.04</v>
      </c>
      <c r="W19" s="15">
        <v>116</v>
      </c>
      <c r="X19" s="16">
        <v>222.86</v>
      </c>
      <c r="Y19" s="15">
        <v>28</v>
      </c>
      <c r="Z19" s="16">
        <v>153.4</v>
      </c>
      <c r="AA19" s="15">
        <v>27</v>
      </c>
      <c r="AB19" s="16">
        <v>539.37</v>
      </c>
      <c r="AC19" s="15">
        <v>8</v>
      </c>
      <c r="AD19" s="16">
        <v>112.1</v>
      </c>
      <c r="AE19" s="15">
        <v>4</v>
      </c>
      <c r="AF19" s="16">
        <v>58</v>
      </c>
      <c r="AG19" s="15">
        <v>4</v>
      </c>
      <c r="AH19" s="16">
        <v>16.5</v>
      </c>
      <c r="AI19" s="15">
        <v>1</v>
      </c>
      <c r="AJ19" s="16">
        <v>249.9</v>
      </c>
      <c r="AK19" s="15">
        <v>975</v>
      </c>
      <c r="AL19" s="16">
        <v>1566.7000000000003</v>
      </c>
    </row>
    <row r="20" spans="1:38" s="18" customFormat="1" ht="16.5" customHeight="1">
      <c r="A20" s="36" t="s">
        <v>24</v>
      </c>
      <c r="B20" s="15">
        <v>119</v>
      </c>
      <c r="C20" s="16">
        <v>40.96999999999999</v>
      </c>
      <c r="D20" s="15">
        <v>38</v>
      </c>
      <c r="E20" s="16">
        <v>88.1</v>
      </c>
      <c r="F20" s="15">
        <v>49</v>
      </c>
      <c r="G20" s="16">
        <v>327.4</v>
      </c>
      <c r="H20" s="15">
        <v>76</v>
      </c>
      <c r="I20" s="16">
        <v>2745.4999999999995</v>
      </c>
      <c r="J20" s="15">
        <v>39</v>
      </c>
      <c r="K20" s="16">
        <v>970.4000000000001</v>
      </c>
      <c r="L20" s="15">
        <v>30</v>
      </c>
      <c r="M20" s="16">
        <v>1573.9</v>
      </c>
      <c r="N20" s="15">
        <v>8</v>
      </c>
      <c r="O20" s="16">
        <v>80.3</v>
      </c>
      <c r="P20" s="15">
        <v>18</v>
      </c>
      <c r="Q20" s="16">
        <v>3855.6</v>
      </c>
      <c r="R20" s="15">
        <v>378</v>
      </c>
      <c r="S20" s="16">
        <v>9701.87</v>
      </c>
      <c r="T20" s="36" t="s">
        <v>24</v>
      </c>
      <c r="U20" s="15">
        <v>112</v>
      </c>
      <c r="V20" s="16">
        <v>38.54999999999999</v>
      </c>
      <c r="W20" s="15">
        <v>37</v>
      </c>
      <c r="X20" s="16">
        <v>79.3</v>
      </c>
      <c r="Y20" s="15">
        <v>46</v>
      </c>
      <c r="Z20" s="16">
        <v>293.59999999999997</v>
      </c>
      <c r="AA20" s="15">
        <v>72</v>
      </c>
      <c r="AB20" s="16">
        <v>1814.6599999999999</v>
      </c>
      <c r="AC20" s="15">
        <v>38</v>
      </c>
      <c r="AD20" s="16">
        <v>668.5</v>
      </c>
      <c r="AE20" s="15">
        <v>26</v>
      </c>
      <c r="AF20" s="16">
        <v>609.45</v>
      </c>
      <c r="AG20" s="15">
        <v>7</v>
      </c>
      <c r="AH20" s="16">
        <v>61</v>
      </c>
      <c r="AI20" s="15">
        <v>18</v>
      </c>
      <c r="AJ20" s="16">
        <v>1509.6</v>
      </c>
      <c r="AK20" s="15">
        <v>356</v>
      </c>
      <c r="AL20" s="16">
        <v>5067.12</v>
      </c>
    </row>
    <row r="21" spans="1:38" s="18" customFormat="1" ht="16.5" customHeight="1">
      <c r="A21" s="31" t="s">
        <v>75</v>
      </c>
      <c r="B21" s="15">
        <v>8755</v>
      </c>
      <c r="C21" s="16">
        <v>2143.51</v>
      </c>
      <c r="D21" s="15">
        <v>1299</v>
      </c>
      <c r="E21" s="16">
        <v>2492.77</v>
      </c>
      <c r="F21" s="15">
        <v>299</v>
      </c>
      <c r="G21" s="16">
        <v>1619.8000000000002</v>
      </c>
      <c r="H21" s="15">
        <v>322</v>
      </c>
      <c r="I21" s="16">
        <v>7094.29</v>
      </c>
      <c r="J21" s="15">
        <v>173</v>
      </c>
      <c r="K21" s="16">
        <v>2949.1999999999994</v>
      </c>
      <c r="L21" s="15">
        <v>95</v>
      </c>
      <c r="M21" s="16">
        <v>2252.33</v>
      </c>
      <c r="N21" s="15">
        <v>92</v>
      </c>
      <c r="O21" s="16">
        <v>746.47</v>
      </c>
      <c r="P21" s="15">
        <v>63</v>
      </c>
      <c r="Q21" s="16">
        <v>5465.2</v>
      </c>
      <c r="R21" s="15">
        <v>11098</v>
      </c>
      <c r="S21" s="16">
        <v>24760.23</v>
      </c>
      <c r="T21" s="31" t="s">
        <v>75</v>
      </c>
      <c r="U21" s="15">
        <v>8397</v>
      </c>
      <c r="V21" s="16">
        <v>2018.6000000000001</v>
      </c>
      <c r="W21" s="15">
        <v>1197</v>
      </c>
      <c r="X21" s="16">
        <v>2171.85</v>
      </c>
      <c r="Y21" s="15">
        <v>290</v>
      </c>
      <c r="Z21" s="16">
        <v>1470.32</v>
      </c>
      <c r="AA21" s="15">
        <v>309</v>
      </c>
      <c r="AB21" s="16">
        <v>5291.21</v>
      </c>
      <c r="AC21" s="15">
        <v>166</v>
      </c>
      <c r="AD21" s="16">
        <v>2431.37</v>
      </c>
      <c r="AE21" s="15">
        <v>82</v>
      </c>
      <c r="AF21" s="16">
        <v>1410.7999999999997</v>
      </c>
      <c r="AG21" s="15">
        <v>83</v>
      </c>
      <c r="AH21" s="16">
        <v>565.24</v>
      </c>
      <c r="AI21" s="15">
        <v>60</v>
      </c>
      <c r="AJ21" s="16">
        <v>3666.23</v>
      </c>
      <c r="AK21" s="15">
        <v>10584</v>
      </c>
      <c r="AL21" s="16">
        <v>19025.69</v>
      </c>
    </row>
    <row r="22" spans="1:38" s="18" customFormat="1" ht="16.5" customHeight="1">
      <c r="A22" s="36" t="s">
        <v>22</v>
      </c>
      <c r="B22" s="15">
        <v>7202</v>
      </c>
      <c r="C22" s="16">
        <v>1731.3999999999996</v>
      </c>
      <c r="D22" s="15">
        <v>903</v>
      </c>
      <c r="E22" s="16">
        <v>1665.73</v>
      </c>
      <c r="F22" s="15">
        <v>127</v>
      </c>
      <c r="G22" s="16">
        <v>632.1999999999999</v>
      </c>
      <c r="H22" s="15">
        <v>116</v>
      </c>
      <c r="I22" s="16">
        <v>2309.69</v>
      </c>
      <c r="J22" s="15">
        <v>82</v>
      </c>
      <c r="K22" s="16">
        <v>1186.5</v>
      </c>
      <c r="L22" s="15">
        <v>35</v>
      </c>
      <c r="M22" s="16">
        <v>434.33000000000004</v>
      </c>
      <c r="N22" s="15">
        <v>62</v>
      </c>
      <c r="O22" s="16">
        <v>501.27000000000004</v>
      </c>
      <c r="P22" s="15">
        <v>12</v>
      </c>
      <c r="Q22" s="16">
        <v>940.6</v>
      </c>
      <c r="R22" s="15">
        <v>8539</v>
      </c>
      <c r="S22" s="16">
        <v>9401.779999999999</v>
      </c>
      <c r="T22" s="36" t="s">
        <v>22</v>
      </c>
      <c r="U22" s="15">
        <v>6936</v>
      </c>
      <c r="V22" s="16">
        <v>1639.2200000000003</v>
      </c>
      <c r="W22" s="15">
        <v>834</v>
      </c>
      <c r="X22" s="16">
        <v>1439.81</v>
      </c>
      <c r="Y22" s="15">
        <v>123</v>
      </c>
      <c r="Z22" s="16">
        <v>589.19</v>
      </c>
      <c r="AA22" s="15">
        <v>112</v>
      </c>
      <c r="AB22" s="16">
        <v>1768.85</v>
      </c>
      <c r="AC22" s="15">
        <v>80</v>
      </c>
      <c r="AD22" s="16">
        <v>986.87</v>
      </c>
      <c r="AE22" s="15">
        <v>32</v>
      </c>
      <c r="AF22" s="16">
        <v>238.1</v>
      </c>
      <c r="AG22" s="15">
        <v>55</v>
      </c>
      <c r="AH22" s="16">
        <v>398.59999999999997</v>
      </c>
      <c r="AI22" s="15">
        <v>12</v>
      </c>
      <c r="AJ22" s="16">
        <v>738.7</v>
      </c>
      <c r="AK22" s="15">
        <v>8184</v>
      </c>
      <c r="AL22" s="16">
        <v>7799.41</v>
      </c>
    </row>
    <row r="23" spans="1:38" s="18" customFormat="1" ht="16.5" customHeight="1">
      <c r="A23" s="36" t="s">
        <v>23</v>
      </c>
      <c r="B23" s="15">
        <v>1329</v>
      </c>
      <c r="C23" s="16">
        <v>353.78000000000003</v>
      </c>
      <c r="D23" s="15">
        <v>288</v>
      </c>
      <c r="E23" s="16">
        <v>600</v>
      </c>
      <c r="F23" s="15">
        <v>67</v>
      </c>
      <c r="G23" s="16">
        <v>390.8999999999999</v>
      </c>
      <c r="H23" s="15">
        <v>40</v>
      </c>
      <c r="I23" s="16">
        <v>899.7</v>
      </c>
      <c r="J23" s="15">
        <v>16</v>
      </c>
      <c r="K23" s="16">
        <v>235.79999999999998</v>
      </c>
      <c r="L23" s="15">
        <v>15</v>
      </c>
      <c r="M23" s="16">
        <v>302.20000000000005</v>
      </c>
      <c r="N23" s="15">
        <v>12</v>
      </c>
      <c r="O23" s="16">
        <v>42.900000000000006</v>
      </c>
      <c r="P23" s="15">
        <v>6</v>
      </c>
      <c r="Q23" s="16">
        <v>507.2</v>
      </c>
      <c r="R23" s="15">
        <v>1770</v>
      </c>
      <c r="S23" s="16">
        <v>3331.28</v>
      </c>
      <c r="T23" s="36" t="s">
        <v>23</v>
      </c>
      <c r="U23" s="15">
        <v>1244</v>
      </c>
      <c r="V23" s="16">
        <v>324.80000000000007</v>
      </c>
      <c r="W23" s="15">
        <v>264</v>
      </c>
      <c r="X23" s="16">
        <v>540.4</v>
      </c>
      <c r="Y23" s="15">
        <v>64</v>
      </c>
      <c r="Z23" s="16">
        <v>338.82</v>
      </c>
      <c r="AA23" s="15">
        <v>37</v>
      </c>
      <c r="AB23" s="16">
        <v>699.3000000000001</v>
      </c>
      <c r="AC23" s="15">
        <v>13</v>
      </c>
      <c r="AD23" s="16">
        <v>183.7</v>
      </c>
      <c r="AE23" s="15">
        <v>12</v>
      </c>
      <c r="AF23" s="16">
        <v>205.10000000000002</v>
      </c>
      <c r="AG23" s="15">
        <v>11</v>
      </c>
      <c r="AH23" s="16">
        <v>26.54</v>
      </c>
      <c r="AI23" s="15">
        <v>5</v>
      </c>
      <c r="AJ23" s="16">
        <v>306.63</v>
      </c>
      <c r="AK23" s="15">
        <v>1647</v>
      </c>
      <c r="AL23" s="16">
        <v>2624.09</v>
      </c>
    </row>
    <row r="24" spans="1:38" s="18" customFormat="1" ht="16.5" customHeight="1">
      <c r="A24" s="36" t="s">
        <v>24</v>
      </c>
      <c r="B24" s="15">
        <v>224</v>
      </c>
      <c r="C24" s="16">
        <v>58.33</v>
      </c>
      <c r="D24" s="15">
        <v>108</v>
      </c>
      <c r="E24" s="16">
        <v>227.04</v>
      </c>
      <c r="F24" s="15">
        <v>105</v>
      </c>
      <c r="G24" s="16">
        <v>596.7</v>
      </c>
      <c r="H24" s="15">
        <v>166</v>
      </c>
      <c r="I24" s="16">
        <v>3884.9</v>
      </c>
      <c r="J24" s="15">
        <v>75</v>
      </c>
      <c r="K24" s="16">
        <v>1526.9</v>
      </c>
      <c r="L24" s="15">
        <v>45</v>
      </c>
      <c r="M24" s="16">
        <v>1515.8</v>
      </c>
      <c r="N24" s="15">
        <v>18</v>
      </c>
      <c r="O24" s="16">
        <v>202.30000000000004</v>
      </c>
      <c r="P24" s="15">
        <v>45</v>
      </c>
      <c r="Q24" s="16">
        <v>4017.4</v>
      </c>
      <c r="R24" s="15">
        <v>789</v>
      </c>
      <c r="S24" s="16">
        <v>12027.170000000002</v>
      </c>
      <c r="T24" s="36" t="s">
        <v>24</v>
      </c>
      <c r="U24" s="15">
        <v>217</v>
      </c>
      <c r="V24" s="16">
        <v>54.58</v>
      </c>
      <c r="W24" s="15">
        <v>99</v>
      </c>
      <c r="X24" s="16">
        <v>191.64000000000001</v>
      </c>
      <c r="Y24" s="15">
        <v>103</v>
      </c>
      <c r="Z24" s="16">
        <v>542.3100000000001</v>
      </c>
      <c r="AA24" s="15">
        <v>160</v>
      </c>
      <c r="AB24" s="16">
        <v>2823.06</v>
      </c>
      <c r="AC24" s="15">
        <v>73</v>
      </c>
      <c r="AD24" s="16">
        <v>1260.8000000000002</v>
      </c>
      <c r="AE24" s="15">
        <v>38</v>
      </c>
      <c r="AF24" s="16">
        <v>967.5999999999999</v>
      </c>
      <c r="AG24" s="15">
        <v>17</v>
      </c>
      <c r="AH24" s="16">
        <v>140.1</v>
      </c>
      <c r="AI24" s="15">
        <v>43</v>
      </c>
      <c r="AJ24" s="16">
        <v>2620.8999999999996</v>
      </c>
      <c r="AK24" s="15">
        <v>753</v>
      </c>
      <c r="AL24" s="16">
        <v>8602.19</v>
      </c>
    </row>
    <row r="25" spans="1:38" s="18" customFormat="1" ht="16.5" customHeight="1">
      <c r="A25" s="31" t="s">
        <v>76</v>
      </c>
      <c r="B25" s="15">
        <v>1136</v>
      </c>
      <c r="C25" s="16">
        <v>280.89</v>
      </c>
      <c r="D25" s="15">
        <v>137</v>
      </c>
      <c r="E25" s="16">
        <v>237</v>
      </c>
      <c r="F25" s="15">
        <v>54</v>
      </c>
      <c r="G25" s="16">
        <v>271.5</v>
      </c>
      <c r="H25" s="15">
        <v>76</v>
      </c>
      <c r="I25" s="16">
        <v>2592.9799999999996</v>
      </c>
      <c r="J25" s="15">
        <v>47</v>
      </c>
      <c r="K25" s="16">
        <v>913.2</v>
      </c>
      <c r="L25" s="15">
        <v>10</v>
      </c>
      <c r="M25" s="16">
        <v>84.6</v>
      </c>
      <c r="N25" s="15">
        <v>13</v>
      </c>
      <c r="O25" s="16">
        <v>112.5</v>
      </c>
      <c r="P25" s="15">
        <v>15</v>
      </c>
      <c r="Q25" s="16">
        <v>1483.8</v>
      </c>
      <c r="R25" s="15">
        <v>1488</v>
      </c>
      <c r="S25" s="16">
        <v>5976.37</v>
      </c>
      <c r="T25" s="31" t="s">
        <v>76</v>
      </c>
      <c r="U25" s="15">
        <v>1068</v>
      </c>
      <c r="V25" s="16">
        <v>262.37</v>
      </c>
      <c r="W25" s="15">
        <v>121</v>
      </c>
      <c r="X25" s="16">
        <v>196.27999999999997</v>
      </c>
      <c r="Y25" s="15">
        <v>49</v>
      </c>
      <c r="Z25" s="16">
        <v>242.56</v>
      </c>
      <c r="AA25" s="15">
        <v>73</v>
      </c>
      <c r="AB25" s="16">
        <v>1585.89</v>
      </c>
      <c r="AC25" s="15">
        <v>47</v>
      </c>
      <c r="AD25" s="16">
        <v>742.65</v>
      </c>
      <c r="AE25" s="15">
        <v>8</v>
      </c>
      <c r="AF25" s="16">
        <v>70.6</v>
      </c>
      <c r="AG25" s="15">
        <v>11</v>
      </c>
      <c r="AH25" s="16">
        <v>93.1</v>
      </c>
      <c r="AI25" s="15">
        <v>15</v>
      </c>
      <c r="AJ25" s="16">
        <v>796.6</v>
      </c>
      <c r="AK25" s="15">
        <v>1392</v>
      </c>
      <c r="AL25" s="16">
        <v>3989.95</v>
      </c>
    </row>
    <row r="26" spans="1:38" s="18" customFormat="1" ht="16.5" customHeight="1">
      <c r="A26" s="36" t="s">
        <v>22</v>
      </c>
      <c r="B26" s="15">
        <v>778</v>
      </c>
      <c r="C26" s="16">
        <v>190.97</v>
      </c>
      <c r="D26" s="15">
        <v>63</v>
      </c>
      <c r="E26" s="16">
        <v>106.84</v>
      </c>
      <c r="F26" s="15">
        <v>16</v>
      </c>
      <c r="G26" s="16">
        <v>79.1</v>
      </c>
      <c r="H26" s="15">
        <v>12</v>
      </c>
      <c r="I26" s="16">
        <v>249.27999999999997</v>
      </c>
      <c r="J26" s="15">
        <v>11</v>
      </c>
      <c r="K26" s="16">
        <v>160.1</v>
      </c>
      <c r="L26" s="15">
        <v>5</v>
      </c>
      <c r="M26" s="16">
        <v>34.4</v>
      </c>
      <c r="N26" s="15">
        <v>4</v>
      </c>
      <c r="O26" s="16">
        <v>14.1</v>
      </c>
      <c r="P26" s="15">
        <v>1</v>
      </c>
      <c r="Q26" s="16">
        <v>287.4</v>
      </c>
      <c r="R26" s="15">
        <v>890</v>
      </c>
      <c r="S26" s="16">
        <v>1122.19</v>
      </c>
      <c r="T26" s="36" t="s">
        <v>22</v>
      </c>
      <c r="U26" s="15">
        <v>745</v>
      </c>
      <c r="V26" s="16">
        <v>182.34</v>
      </c>
      <c r="W26" s="15">
        <v>59</v>
      </c>
      <c r="X26" s="16">
        <v>91.92</v>
      </c>
      <c r="Y26" s="15">
        <v>16</v>
      </c>
      <c r="Z26" s="16">
        <v>71.9</v>
      </c>
      <c r="AA26" s="15">
        <v>12</v>
      </c>
      <c r="AB26" s="16">
        <v>223.87</v>
      </c>
      <c r="AC26" s="15">
        <v>11</v>
      </c>
      <c r="AD26" s="16">
        <v>156.3</v>
      </c>
      <c r="AE26" s="15">
        <v>4</v>
      </c>
      <c r="AF26" s="16">
        <v>31.9</v>
      </c>
      <c r="AG26" s="15">
        <v>4</v>
      </c>
      <c r="AH26" s="16">
        <v>13.68</v>
      </c>
      <c r="AI26" s="15">
        <v>1</v>
      </c>
      <c r="AJ26" s="16">
        <v>87.2</v>
      </c>
      <c r="AK26" s="15">
        <v>852</v>
      </c>
      <c r="AL26" s="16">
        <v>859.11</v>
      </c>
    </row>
    <row r="27" spans="1:38" s="18" customFormat="1" ht="16.5" customHeight="1">
      <c r="A27" s="36" t="s">
        <v>23</v>
      </c>
      <c r="B27" s="15">
        <v>257</v>
      </c>
      <c r="C27" s="16">
        <v>63.42</v>
      </c>
      <c r="D27" s="15">
        <v>50</v>
      </c>
      <c r="E27" s="16">
        <v>81.05</v>
      </c>
      <c r="F27" s="15">
        <v>16</v>
      </c>
      <c r="G27" s="16">
        <v>74</v>
      </c>
      <c r="H27" s="15">
        <v>13</v>
      </c>
      <c r="I27" s="16">
        <v>315.20000000000005</v>
      </c>
      <c r="J27" s="15">
        <v>3</v>
      </c>
      <c r="K27" s="16">
        <v>82</v>
      </c>
      <c r="L27" s="15">
        <v>0</v>
      </c>
      <c r="M27" s="16">
        <v>0</v>
      </c>
      <c r="N27" s="15">
        <v>5</v>
      </c>
      <c r="O27" s="16">
        <v>24.3</v>
      </c>
      <c r="P27" s="15">
        <v>1</v>
      </c>
      <c r="Q27" s="16">
        <v>50.4</v>
      </c>
      <c r="R27" s="15">
        <v>345</v>
      </c>
      <c r="S27" s="16">
        <v>690.34</v>
      </c>
      <c r="T27" s="36" t="s">
        <v>23</v>
      </c>
      <c r="U27" s="15">
        <v>236</v>
      </c>
      <c r="V27" s="16">
        <v>58.64</v>
      </c>
      <c r="W27" s="15">
        <v>42</v>
      </c>
      <c r="X27" s="16">
        <v>68.15</v>
      </c>
      <c r="Y27" s="15">
        <v>15</v>
      </c>
      <c r="Z27" s="16">
        <v>64.43</v>
      </c>
      <c r="AA27" s="15">
        <v>12</v>
      </c>
      <c r="AB27" s="16">
        <v>185.5</v>
      </c>
      <c r="AC27" s="15">
        <v>3</v>
      </c>
      <c r="AD27" s="16">
        <v>53.2</v>
      </c>
      <c r="AE27" s="15">
        <v>0</v>
      </c>
      <c r="AF27" s="16">
        <v>0</v>
      </c>
      <c r="AG27" s="15">
        <v>3</v>
      </c>
      <c r="AH27" s="16">
        <v>5.82</v>
      </c>
      <c r="AI27" s="15">
        <v>1</v>
      </c>
      <c r="AJ27" s="16">
        <v>47.1</v>
      </c>
      <c r="AK27" s="15">
        <v>312</v>
      </c>
      <c r="AL27" s="16">
        <v>482.84000000000003</v>
      </c>
    </row>
    <row r="28" spans="1:38" s="18" customFormat="1" ht="16.5" customHeight="1">
      <c r="A28" s="36" t="s">
        <v>24</v>
      </c>
      <c r="B28" s="15">
        <v>101</v>
      </c>
      <c r="C28" s="16">
        <v>26.5</v>
      </c>
      <c r="D28" s="15">
        <v>24</v>
      </c>
      <c r="E28" s="16">
        <v>49.11</v>
      </c>
      <c r="F28" s="15">
        <v>22</v>
      </c>
      <c r="G28" s="16">
        <v>118.4</v>
      </c>
      <c r="H28" s="15">
        <v>51</v>
      </c>
      <c r="I28" s="16">
        <v>2028.4999999999998</v>
      </c>
      <c r="J28" s="15">
        <v>33</v>
      </c>
      <c r="K28" s="16">
        <v>671.1</v>
      </c>
      <c r="L28" s="15">
        <v>5</v>
      </c>
      <c r="M28" s="16">
        <v>50.2</v>
      </c>
      <c r="N28" s="15">
        <v>4</v>
      </c>
      <c r="O28" s="16">
        <v>74.1</v>
      </c>
      <c r="P28" s="15">
        <v>13</v>
      </c>
      <c r="Q28" s="16">
        <v>1146</v>
      </c>
      <c r="R28" s="15">
        <v>253</v>
      </c>
      <c r="S28" s="16">
        <v>4163.84</v>
      </c>
      <c r="T28" s="36" t="s">
        <v>24</v>
      </c>
      <c r="U28" s="15">
        <v>87</v>
      </c>
      <c r="V28" s="16">
        <v>21.39</v>
      </c>
      <c r="W28" s="15">
        <v>20</v>
      </c>
      <c r="X28" s="16">
        <v>36.21</v>
      </c>
      <c r="Y28" s="15">
        <v>18</v>
      </c>
      <c r="Z28" s="16">
        <v>106.23</v>
      </c>
      <c r="AA28" s="15">
        <v>49</v>
      </c>
      <c r="AB28" s="16">
        <v>1176.52</v>
      </c>
      <c r="AC28" s="15">
        <v>33</v>
      </c>
      <c r="AD28" s="16">
        <v>533.15</v>
      </c>
      <c r="AE28" s="15">
        <v>4</v>
      </c>
      <c r="AF28" s="16">
        <v>38.7</v>
      </c>
      <c r="AG28" s="15">
        <v>4</v>
      </c>
      <c r="AH28" s="16">
        <v>73.6</v>
      </c>
      <c r="AI28" s="15">
        <v>13</v>
      </c>
      <c r="AJ28" s="16">
        <v>662.3</v>
      </c>
      <c r="AK28" s="15">
        <v>228</v>
      </c>
      <c r="AL28" s="16">
        <v>2648</v>
      </c>
    </row>
    <row r="29" spans="1:38" s="18" customFormat="1" ht="16.5" customHeight="1">
      <c r="A29" s="31" t="s">
        <v>77</v>
      </c>
      <c r="B29" s="15">
        <v>4042</v>
      </c>
      <c r="C29" s="16">
        <v>1045.83</v>
      </c>
      <c r="D29" s="15">
        <v>527</v>
      </c>
      <c r="E29" s="16">
        <v>940.26</v>
      </c>
      <c r="F29" s="15">
        <v>151</v>
      </c>
      <c r="G29" s="16">
        <v>889.5999999999999</v>
      </c>
      <c r="H29" s="15">
        <v>142</v>
      </c>
      <c r="I29" s="16">
        <v>4009.4</v>
      </c>
      <c r="J29" s="15">
        <v>66</v>
      </c>
      <c r="K29" s="16">
        <v>1343.8</v>
      </c>
      <c r="L29" s="15">
        <v>36</v>
      </c>
      <c r="M29" s="16">
        <v>627.6</v>
      </c>
      <c r="N29" s="15">
        <v>36</v>
      </c>
      <c r="O29" s="16">
        <v>164.50000000000003</v>
      </c>
      <c r="P29" s="15">
        <v>16</v>
      </c>
      <c r="Q29" s="16">
        <v>2355.5</v>
      </c>
      <c r="R29" s="15">
        <v>5016</v>
      </c>
      <c r="S29" s="16">
        <v>11376.490000000002</v>
      </c>
      <c r="T29" s="31" t="s">
        <v>77</v>
      </c>
      <c r="U29" s="15">
        <v>3898</v>
      </c>
      <c r="V29" s="16">
        <v>1002.9999999999998</v>
      </c>
      <c r="W29" s="15">
        <v>472</v>
      </c>
      <c r="X29" s="16">
        <v>769.61</v>
      </c>
      <c r="Y29" s="15">
        <v>141</v>
      </c>
      <c r="Z29" s="16">
        <v>670.6599999999999</v>
      </c>
      <c r="AA29" s="15">
        <v>123</v>
      </c>
      <c r="AB29" s="16">
        <v>2172.61</v>
      </c>
      <c r="AC29" s="15">
        <v>63</v>
      </c>
      <c r="AD29" s="16">
        <v>1038.29</v>
      </c>
      <c r="AE29" s="15">
        <v>31</v>
      </c>
      <c r="AF29" s="16">
        <v>222.79999999999998</v>
      </c>
      <c r="AG29" s="15">
        <v>28</v>
      </c>
      <c r="AH29" s="16">
        <v>120.11999999999999</v>
      </c>
      <c r="AI29" s="15">
        <v>15</v>
      </c>
      <c r="AJ29" s="16">
        <v>1305.4</v>
      </c>
      <c r="AK29" s="15">
        <v>4769</v>
      </c>
      <c r="AL29" s="16">
        <v>7304.719999999999</v>
      </c>
    </row>
    <row r="30" spans="1:38" s="18" customFormat="1" ht="16.5" customHeight="1">
      <c r="A30" s="36" t="s">
        <v>22</v>
      </c>
      <c r="B30" s="15">
        <v>3067</v>
      </c>
      <c r="C30" s="16">
        <v>805.64</v>
      </c>
      <c r="D30" s="15">
        <v>360</v>
      </c>
      <c r="E30" s="16">
        <v>624.8600000000001</v>
      </c>
      <c r="F30" s="15">
        <v>86</v>
      </c>
      <c r="G30" s="16">
        <v>509</v>
      </c>
      <c r="H30" s="15">
        <v>36</v>
      </c>
      <c r="I30" s="16">
        <v>822.9</v>
      </c>
      <c r="J30" s="15">
        <v>17</v>
      </c>
      <c r="K30" s="16">
        <v>279.8</v>
      </c>
      <c r="L30" s="15">
        <v>7</v>
      </c>
      <c r="M30" s="16">
        <v>36.099999999999994</v>
      </c>
      <c r="N30" s="15">
        <v>20</v>
      </c>
      <c r="O30" s="16">
        <v>106</v>
      </c>
      <c r="P30" s="15">
        <v>0</v>
      </c>
      <c r="Q30" s="16">
        <v>0</v>
      </c>
      <c r="R30" s="15">
        <v>3593</v>
      </c>
      <c r="S30" s="16">
        <v>3184.2999999999997</v>
      </c>
      <c r="T30" s="36" t="s">
        <v>22</v>
      </c>
      <c r="U30" s="15">
        <v>2980</v>
      </c>
      <c r="V30" s="16">
        <v>776.81</v>
      </c>
      <c r="W30" s="15">
        <v>331</v>
      </c>
      <c r="X30" s="16">
        <v>524.59</v>
      </c>
      <c r="Y30" s="15">
        <v>81</v>
      </c>
      <c r="Z30" s="16">
        <v>358.27</v>
      </c>
      <c r="AA30" s="15">
        <v>30</v>
      </c>
      <c r="AB30" s="16">
        <v>473.01</v>
      </c>
      <c r="AC30" s="15">
        <v>16</v>
      </c>
      <c r="AD30" s="16">
        <v>242.5</v>
      </c>
      <c r="AE30" s="15">
        <v>6</v>
      </c>
      <c r="AF30" s="16">
        <v>19.6</v>
      </c>
      <c r="AG30" s="15">
        <v>14</v>
      </c>
      <c r="AH30" s="16">
        <v>80.2</v>
      </c>
      <c r="AI30" s="15">
        <v>0</v>
      </c>
      <c r="AJ30" s="16">
        <v>0</v>
      </c>
      <c r="AK30" s="15">
        <v>3464</v>
      </c>
      <c r="AL30" s="16">
        <v>2477.84</v>
      </c>
    </row>
    <row r="31" spans="1:38" s="18" customFormat="1" ht="16.5" customHeight="1">
      <c r="A31" s="36" t="s">
        <v>23</v>
      </c>
      <c r="B31" s="15">
        <v>720</v>
      </c>
      <c r="C31" s="16">
        <v>173.17000000000002</v>
      </c>
      <c r="D31" s="15">
        <v>116</v>
      </c>
      <c r="E31" s="16">
        <v>208</v>
      </c>
      <c r="F31" s="15">
        <v>27</v>
      </c>
      <c r="G31" s="16">
        <v>155.7</v>
      </c>
      <c r="H31" s="15">
        <v>29</v>
      </c>
      <c r="I31" s="16">
        <v>790.5</v>
      </c>
      <c r="J31" s="15">
        <v>8</v>
      </c>
      <c r="K31" s="16">
        <v>183.89999999999998</v>
      </c>
      <c r="L31" s="15">
        <v>4</v>
      </c>
      <c r="M31" s="16">
        <v>35.9</v>
      </c>
      <c r="N31" s="15">
        <v>3</v>
      </c>
      <c r="O31" s="16">
        <v>4.4</v>
      </c>
      <c r="P31" s="15">
        <v>0</v>
      </c>
      <c r="Q31" s="16">
        <v>0</v>
      </c>
      <c r="R31" s="15">
        <v>907</v>
      </c>
      <c r="S31" s="16">
        <v>1551.57</v>
      </c>
      <c r="T31" s="36" t="s">
        <v>23</v>
      </c>
      <c r="U31" s="15">
        <v>664</v>
      </c>
      <c r="V31" s="16">
        <v>159.93</v>
      </c>
      <c r="W31" s="15">
        <v>102</v>
      </c>
      <c r="X31" s="16">
        <v>175.32</v>
      </c>
      <c r="Y31" s="15">
        <v>26</v>
      </c>
      <c r="Z31" s="16">
        <v>129.7</v>
      </c>
      <c r="AA31" s="15">
        <v>25</v>
      </c>
      <c r="AB31" s="16">
        <v>444.7</v>
      </c>
      <c r="AC31" s="15">
        <v>8</v>
      </c>
      <c r="AD31" s="16">
        <v>154.60000000000002</v>
      </c>
      <c r="AE31" s="15">
        <v>4</v>
      </c>
      <c r="AF31" s="16">
        <v>28</v>
      </c>
      <c r="AG31" s="15">
        <v>3</v>
      </c>
      <c r="AH31" s="16">
        <v>4.2</v>
      </c>
      <c r="AI31" s="15">
        <v>0</v>
      </c>
      <c r="AJ31" s="16">
        <v>0</v>
      </c>
      <c r="AK31" s="15">
        <v>830</v>
      </c>
      <c r="AL31" s="16">
        <v>1097.01</v>
      </c>
    </row>
    <row r="32" spans="1:38" s="18" customFormat="1" ht="16.5" customHeight="1">
      <c r="A32" s="36" t="s">
        <v>24</v>
      </c>
      <c r="B32" s="15">
        <v>255</v>
      </c>
      <c r="C32" s="16">
        <v>67.02000000000001</v>
      </c>
      <c r="D32" s="15">
        <v>51</v>
      </c>
      <c r="E32" s="16">
        <v>107.4</v>
      </c>
      <c r="F32" s="15">
        <v>38</v>
      </c>
      <c r="G32" s="16">
        <v>224.9</v>
      </c>
      <c r="H32" s="15">
        <v>77</v>
      </c>
      <c r="I32" s="16">
        <v>2396</v>
      </c>
      <c r="J32" s="15">
        <v>41</v>
      </c>
      <c r="K32" s="16">
        <v>880.1000000000001</v>
      </c>
      <c r="L32" s="15">
        <v>25</v>
      </c>
      <c r="M32" s="16">
        <v>555.6</v>
      </c>
      <c r="N32" s="15">
        <v>13</v>
      </c>
      <c r="O32" s="16">
        <v>54.1</v>
      </c>
      <c r="P32" s="15">
        <v>16</v>
      </c>
      <c r="Q32" s="16">
        <v>2355.5</v>
      </c>
      <c r="R32" s="15">
        <v>516</v>
      </c>
      <c r="S32" s="16">
        <v>6640.620000000001</v>
      </c>
      <c r="T32" s="36" t="s">
        <v>24</v>
      </c>
      <c r="U32" s="15">
        <v>254</v>
      </c>
      <c r="V32" s="16">
        <v>66.26</v>
      </c>
      <c r="W32" s="15">
        <v>39</v>
      </c>
      <c r="X32" s="16">
        <v>69.69999999999999</v>
      </c>
      <c r="Y32" s="15">
        <v>34</v>
      </c>
      <c r="Z32" s="16">
        <v>182.69</v>
      </c>
      <c r="AA32" s="15">
        <v>68</v>
      </c>
      <c r="AB32" s="16">
        <v>1254.9</v>
      </c>
      <c r="AC32" s="15">
        <v>39</v>
      </c>
      <c r="AD32" s="16">
        <v>641.19</v>
      </c>
      <c r="AE32" s="15">
        <v>21</v>
      </c>
      <c r="AF32" s="16">
        <v>175.20000000000002</v>
      </c>
      <c r="AG32" s="15">
        <v>11</v>
      </c>
      <c r="AH32" s="16">
        <v>35.72</v>
      </c>
      <c r="AI32" s="15">
        <v>15</v>
      </c>
      <c r="AJ32" s="16">
        <v>1305.4</v>
      </c>
      <c r="AK32" s="15">
        <v>475</v>
      </c>
      <c r="AL32" s="16">
        <v>3729.87</v>
      </c>
    </row>
    <row r="33" spans="1:38" s="18" customFormat="1" ht="16.5" customHeight="1">
      <c r="A33" s="31" t="s">
        <v>78</v>
      </c>
      <c r="B33" s="15">
        <v>4782</v>
      </c>
      <c r="C33" s="16">
        <v>1231.8700000000001</v>
      </c>
      <c r="D33" s="15">
        <v>917</v>
      </c>
      <c r="E33" s="16">
        <v>1877.23</v>
      </c>
      <c r="F33" s="15">
        <v>243</v>
      </c>
      <c r="G33" s="16">
        <v>1405.5</v>
      </c>
      <c r="H33" s="15">
        <v>188</v>
      </c>
      <c r="I33" s="16">
        <v>4612.2</v>
      </c>
      <c r="J33" s="15">
        <v>57</v>
      </c>
      <c r="K33" s="16">
        <v>1123.9</v>
      </c>
      <c r="L33" s="15">
        <v>79</v>
      </c>
      <c r="M33" s="16">
        <v>1522.39</v>
      </c>
      <c r="N33" s="15">
        <v>27</v>
      </c>
      <c r="O33" s="16">
        <v>419.91</v>
      </c>
      <c r="P33" s="15">
        <v>29</v>
      </c>
      <c r="Q33" s="16">
        <v>4178.9</v>
      </c>
      <c r="R33" s="15">
        <v>6322</v>
      </c>
      <c r="S33" s="16">
        <v>16371.9</v>
      </c>
      <c r="T33" s="31" t="s">
        <v>78</v>
      </c>
      <c r="U33" s="15">
        <v>4560</v>
      </c>
      <c r="V33" s="16">
        <v>1150.66</v>
      </c>
      <c r="W33" s="15">
        <v>762</v>
      </c>
      <c r="X33" s="16">
        <v>1389.7</v>
      </c>
      <c r="Y33" s="15">
        <v>210</v>
      </c>
      <c r="Z33" s="16">
        <v>1011.26</v>
      </c>
      <c r="AA33" s="15">
        <v>170</v>
      </c>
      <c r="AB33" s="16">
        <v>2868.43</v>
      </c>
      <c r="AC33" s="15">
        <v>54</v>
      </c>
      <c r="AD33" s="16">
        <v>863.3000000000001</v>
      </c>
      <c r="AE33" s="15">
        <v>62</v>
      </c>
      <c r="AF33" s="16">
        <v>586.25</v>
      </c>
      <c r="AG33" s="15">
        <v>23</v>
      </c>
      <c r="AH33" s="16">
        <v>234.4</v>
      </c>
      <c r="AI33" s="15">
        <v>27</v>
      </c>
      <c r="AJ33" s="16">
        <v>2677.2</v>
      </c>
      <c r="AK33" s="15">
        <v>5868</v>
      </c>
      <c r="AL33" s="16">
        <v>10781.199999999999</v>
      </c>
    </row>
    <row r="34" spans="1:38" s="18" customFormat="1" ht="16.5" customHeight="1">
      <c r="A34" s="36" t="s">
        <v>22</v>
      </c>
      <c r="B34" s="15">
        <v>3903</v>
      </c>
      <c r="C34" s="16">
        <v>1000.98</v>
      </c>
      <c r="D34" s="15">
        <v>645</v>
      </c>
      <c r="E34" s="16">
        <v>1244.63</v>
      </c>
      <c r="F34" s="15">
        <v>137</v>
      </c>
      <c r="G34" s="16">
        <v>719.7</v>
      </c>
      <c r="H34" s="15">
        <v>74</v>
      </c>
      <c r="I34" s="16">
        <v>1598.8000000000002</v>
      </c>
      <c r="J34" s="15">
        <v>19</v>
      </c>
      <c r="K34" s="16">
        <v>356.4</v>
      </c>
      <c r="L34" s="15">
        <v>23</v>
      </c>
      <c r="M34" s="16">
        <v>236.89</v>
      </c>
      <c r="N34" s="15">
        <v>17</v>
      </c>
      <c r="O34" s="16">
        <v>202.11</v>
      </c>
      <c r="P34" s="15">
        <v>5</v>
      </c>
      <c r="Q34" s="16">
        <v>289.6</v>
      </c>
      <c r="R34" s="15">
        <v>4823</v>
      </c>
      <c r="S34" s="16">
        <v>5649.11</v>
      </c>
      <c r="T34" s="36" t="s">
        <v>22</v>
      </c>
      <c r="U34" s="15">
        <v>3739</v>
      </c>
      <c r="V34" s="16">
        <v>938.6600000000001</v>
      </c>
      <c r="W34" s="15">
        <v>561</v>
      </c>
      <c r="X34" s="16">
        <v>954.8000000000001</v>
      </c>
      <c r="Y34" s="15">
        <v>119</v>
      </c>
      <c r="Z34" s="16">
        <v>529.96</v>
      </c>
      <c r="AA34" s="15">
        <v>69</v>
      </c>
      <c r="AB34" s="16">
        <v>1085.29</v>
      </c>
      <c r="AC34" s="15">
        <v>18</v>
      </c>
      <c r="AD34" s="16">
        <v>321.8</v>
      </c>
      <c r="AE34" s="15">
        <v>20</v>
      </c>
      <c r="AF34" s="16">
        <v>108.61</v>
      </c>
      <c r="AG34" s="15">
        <v>16</v>
      </c>
      <c r="AH34" s="16">
        <v>173.39999999999998</v>
      </c>
      <c r="AI34" s="15">
        <v>5</v>
      </c>
      <c r="AJ34" s="16">
        <v>288.2</v>
      </c>
      <c r="AK34" s="15">
        <v>4547</v>
      </c>
      <c r="AL34" s="16">
        <v>4400.72</v>
      </c>
    </row>
    <row r="35" spans="1:38" s="18" customFormat="1" ht="16.5" customHeight="1">
      <c r="A35" s="36" t="s">
        <v>23</v>
      </c>
      <c r="B35" s="15">
        <v>672</v>
      </c>
      <c r="C35" s="16">
        <v>178.60999999999999</v>
      </c>
      <c r="D35" s="15">
        <v>194</v>
      </c>
      <c r="E35" s="16">
        <v>452.9</v>
      </c>
      <c r="F35" s="15">
        <v>47</v>
      </c>
      <c r="G35" s="16">
        <v>291.6</v>
      </c>
      <c r="H35" s="15">
        <v>26</v>
      </c>
      <c r="I35" s="16">
        <v>645.6999999999999</v>
      </c>
      <c r="J35" s="15">
        <v>10</v>
      </c>
      <c r="K35" s="16">
        <v>225.20000000000002</v>
      </c>
      <c r="L35" s="15">
        <v>10</v>
      </c>
      <c r="M35" s="16">
        <v>201.60000000000002</v>
      </c>
      <c r="N35" s="15">
        <v>5</v>
      </c>
      <c r="O35" s="16">
        <v>18.1</v>
      </c>
      <c r="P35" s="15">
        <v>1</v>
      </c>
      <c r="Q35" s="16">
        <v>0.3</v>
      </c>
      <c r="R35" s="15">
        <v>965</v>
      </c>
      <c r="S35" s="16">
        <v>2014.0100000000002</v>
      </c>
      <c r="T35" s="36" t="s">
        <v>23</v>
      </c>
      <c r="U35" s="15">
        <v>617</v>
      </c>
      <c r="V35" s="16">
        <v>161.7</v>
      </c>
      <c r="W35" s="15">
        <v>153</v>
      </c>
      <c r="X35" s="16">
        <v>343</v>
      </c>
      <c r="Y35" s="15">
        <v>48</v>
      </c>
      <c r="Z35" s="16">
        <v>263.6</v>
      </c>
      <c r="AA35" s="15">
        <v>22</v>
      </c>
      <c r="AB35" s="16">
        <v>443.9</v>
      </c>
      <c r="AC35" s="15">
        <v>11</v>
      </c>
      <c r="AD35" s="16">
        <v>168.5</v>
      </c>
      <c r="AE35" s="15">
        <v>9</v>
      </c>
      <c r="AF35" s="16">
        <v>96</v>
      </c>
      <c r="AG35" s="15">
        <v>1</v>
      </c>
      <c r="AH35" s="16">
        <v>0.1</v>
      </c>
      <c r="AI35" s="15">
        <v>1</v>
      </c>
      <c r="AJ35" s="16">
        <v>0.3</v>
      </c>
      <c r="AK35" s="15">
        <v>862</v>
      </c>
      <c r="AL35" s="16">
        <v>1477.1000000000001</v>
      </c>
    </row>
    <row r="36" spans="1:38" s="18" customFormat="1" ht="16.5" customHeight="1">
      <c r="A36" s="36" t="s">
        <v>24</v>
      </c>
      <c r="B36" s="15">
        <v>207</v>
      </c>
      <c r="C36" s="16">
        <v>52.28</v>
      </c>
      <c r="D36" s="15">
        <v>78</v>
      </c>
      <c r="E36" s="16">
        <v>179.7</v>
      </c>
      <c r="F36" s="15">
        <v>59</v>
      </c>
      <c r="G36" s="16">
        <v>394.2</v>
      </c>
      <c r="H36" s="15">
        <v>88</v>
      </c>
      <c r="I36" s="16">
        <v>2367.7000000000003</v>
      </c>
      <c r="J36" s="15">
        <v>28</v>
      </c>
      <c r="K36" s="16">
        <v>542.3</v>
      </c>
      <c r="L36" s="15">
        <v>46</v>
      </c>
      <c r="M36" s="16">
        <v>1083.9</v>
      </c>
      <c r="N36" s="15">
        <v>5</v>
      </c>
      <c r="O36" s="16">
        <v>199.70000000000002</v>
      </c>
      <c r="P36" s="15">
        <v>23</v>
      </c>
      <c r="Q36" s="16">
        <v>3889</v>
      </c>
      <c r="R36" s="15">
        <v>534</v>
      </c>
      <c r="S36" s="16">
        <v>8708.78</v>
      </c>
      <c r="T36" s="36" t="s">
        <v>24</v>
      </c>
      <c r="U36" s="15">
        <v>204</v>
      </c>
      <c r="V36" s="16">
        <v>50.3</v>
      </c>
      <c r="W36" s="15">
        <v>48</v>
      </c>
      <c r="X36" s="16">
        <v>91.89999999999999</v>
      </c>
      <c r="Y36" s="15">
        <v>43</v>
      </c>
      <c r="Z36" s="16">
        <v>217.7</v>
      </c>
      <c r="AA36" s="15">
        <v>79</v>
      </c>
      <c r="AB36" s="16">
        <v>1339.24</v>
      </c>
      <c r="AC36" s="15">
        <v>25</v>
      </c>
      <c r="AD36" s="16">
        <v>373</v>
      </c>
      <c r="AE36" s="15">
        <v>33</v>
      </c>
      <c r="AF36" s="16">
        <v>381.64000000000004</v>
      </c>
      <c r="AG36" s="15">
        <v>6</v>
      </c>
      <c r="AH36" s="16">
        <v>60.89999999999999</v>
      </c>
      <c r="AI36" s="15">
        <v>21</v>
      </c>
      <c r="AJ36" s="16">
        <v>2388.7</v>
      </c>
      <c r="AK36" s="15">
        <v>459</v>
      </c>
      <c r="AL36" s="16">
        <v>4903.38</v>
      </c>
    </row>
    <row r="37" spans="1:38" s="18" customFormat="1" ht="16.5" customHeight="1">
      <c r="A37" s="31" t="s">
        <v>79</v>
      </c>
      <c r="B37" s="15">
        <v>2212</v>
      </c>
      <c r="C37" s="16">
        <v>502.14000000000004</v>
      </c>
      <c r="D37" s="15">
        <v>205</v>
      </c>
      <c r="E37" s="16">
        <v>517.21</v>
      </c>
      <c r="F37" s="15">
        <v>74</v>
      </c>
      <c r="G37" s="16">
        <v>500.5</v>
      </c>
      <c r="H37" s="15">
        <v>94</v>
      </c>
      <c r="I37" s="16">
        <v>2789.9</v>
      </c>
      <c r="J37" s="15">
        <v>60</v>
      </c>
      <c r="K37" s="16">
        <v>1098.58</v>
      </c>
      <c r="L37" s="15">
        <v>27</v>
      </c>
      <c r="M37" s="16">
        <v>1101</v>
      </c>
      <c r="N37" s="15">
        <v>34</v>
      </c>
      <c r="O37" s="16">
        <v>477.9</v>
      </c>
      <c r="P37" s="15">
        <v>17</v>
      </c>
      <c r="Q37" s="16">
        <v>2149.4</v>
      </c>
      <c r="R37" s="15">
        <v>2723</v>
      </c>
      <c r="S37" s="16">
        <v>9136.63</v>
      </c>
      <c r="T37" s="31" t="s">
        <v>79</v>
      </c>
      <c r="U37" s="15">
        <v>2111</v>
      </c>
      <c r="V37" s="16">
        <v>462.31000000000006</v>
      </c>
      <c r="W37" s="15">
        <v>172</v>
      </c>
      <c r="X37" s="16">
        <v>370.2</v>
      </c>
      <c r="Y37" s="15">
        <v>70</v>
      </c>
      <c r="Z37" s="16">
        <v>439.47999999999996</v>
      </c>
      <c r="AA37" s="15">
        <v>91</v>
      </c>
      <c r="AB37" s="16">
        <v>1676.85</v>
      </c>
      <c r="AC37" s="15">
        <v>59</v>
      </c>
      <c r="AD37" s="16">
        <v>858.48</v>
      </c>
      <c r="AE37" s="15">
        <v>23</v>
      </c>
      <c r="AF37" s="16">
        <v>900.22</v>
      </c>
      <c r="AG37" s="15">
        <v>33</v>
      </c>
      <c r="AH37" s="16">
        <v>278.70000000000005</v>
      </c>
      <c r="AI37" s="15">
        <v>16</v>
      </c>
      <c r="AJ37" s="16">
        <v>1352.8999999999999</v>
      </c>
      <c r="AK37" s="15">
        <v>2575</v>
      </c>
      <c r="AL37" s="16">
        <v>6339.14</v>
      </c>
    </row>
    <row r="38" spans="1:38" s="18" customFormat="1" ht="16.5" customHeight="1">
      <c r="A38" s="36" t="s">
        <v>22</v>
      </c>
      <c r="B38" s="15">
        <v>1589</v>
      </c>
      <c r="C38" s="16">
        <v>347.17</v>
      </c>
      <c r="D38" s="15">
        <v>116</v>
      </c>
      <c r="E38" s="16">
        <v>271.9</v>
      </c>
      <c r="F38" s="15">
        <v>27</v>
      </c>
      <c r="G38" s="16">
        <v>158.2</v>
      </c>
      <c r="H38" s="15">
        <v>23</v>
      </c>
      <c r="I38" s="16">
        <v>528.5</v>
      </c>
      <c r="J38" s="15">
        <v>15</v>
      </c>
      <c r="K38" s="16">
        <v>196.70000000000002</v>
      </c>
      <c r="L38" s="15">
        <v>5</v>
      </c>
      <c r="M38" s="16">
        <v>203.5</v>
      </c>
      <c r="N38" s="15">
        <v>14</v>
      </c>
      <c r="O38" s="16">
        <v>87.10000000000001</v>
      </c>
      <c r="P38" s="15">
        <v>1</v>
      </c>
      <c r="Q38" s="16">
        <v>67</v>
      </c>
      <c r="R38" s="15">
        <v>1790</v>
      </c>
      <c r="S38" s="16">
        <v>1860.0700000000002</v>
      </c>
      <c r="T38" s="36" t="s">
        <v>22</v>
      </c>
      <c r="U38" s="15">
        <v>1530</v>
      </c>
      <c r="V38" s="16">
        <v>320.5</v>
      </c>
      <c r="W38" s="15">
        <v>98</v>
      </c>
      <c r="X38" s="16">
        <v>207.3</v>
      </c>
      <c r="Y38" s="15">
        <v>26</v>
      </c>
      <c r="Z38" s="16">
        <v>142.7</v>
      </c>
      <c r="AA38" s="15">
        <v>23</v>
      </c>
      <c r="AB38" s="16">
        <v>454.6</v>
      </c>
      <c r="AC38" s="15">
        <v>15</v>
      </c>
      <c r="AD38" s="16">
        <v>183</v>
      </c>
      <c r="AE38" s="15">
        <v>4</v>
      </c>
      <c r="AF38" s="16">
        <v>89.6</v>
      </c>
      <c r="AG38" s="15">
        <v>13</v>
      </c>
      <c r="AH38" s="16">
        <v>73.3</v>
      </c>
      <c r="AI38" s="15">
        <v>1</v>
      </c>
      <c r="AJ38" s="16">
        <v>43.5</v>
      </c>
      <c r="AK38" s="15">
        <v>1710</v>
      </c>
      <c r="AL38" s="16">
        <v>1514.5</v>
      </c>
    </row>
    <row r="39" spans="1:38" s="18" customFormat="1" ht="16.5" customHeight="1">
      <c r="A39" s="36" t="s">
        <v>23</v>
      </c>
      <c r="B39" s="15">
        <v>509</v>
      </c>
      <c r="C39" s="16">
        <v>121.25</v>
      </c>
      <c r="D39" s="15">
        <v>62</v>
      </c>
      <c r="E39" s="16">
        <v>168.01</v>
      </c>
      <c r="F39" s="15">
        <v>19</v>
      </c>
      <c r="G39" s="16">
        <v>121.4</v>
      </c>
      <c r="H39" s="15">
        <v>16</v>
      </c>
      <c r="I39" s="16">
        <v>366.20000000000005</v>
      </c>
      <c r="J39" s="15">
        <v>12</v>
      </c>
      <c r="K39" s="16">
        <v>218.60000000000002</v>
      </c>
      <c r="L39" s="15">
        <v>2</v>
      </c>
      <c r="M39" s="16">
        <v>4.9</v>
      </c>
      <c r="N39" s="15">
        <v>4</v>
      </c>
      <c r="O39" s="16">
        <v>15.1</v>
      </c>
      <c r="P39" s="15">
        <v>1</v>
      </c>
      <c r="Q39" s="16">
        <v>59.9</v>
      </c>
      <c r="R39" s="15">
        <v>625</v>
      </c>
      <c r="S39" s="16">
        <v>1075.36</v>
      </c>
      <c r="T39" s="36" t="s">
        <v>23</v>
      </c>
      <c r="U39" s="15">
        <v>477</v>
      </c>
      <c r="V39" s="16">
        <v>111.58999999999999</v>
      </c>
      <c r="W39" s="15">
        <v>51</v>
      </c>
      <c r="X39" s="16">
        <v>102.5</v>
      </c>
      <c r="Y39" s="15">
        <v>17</v>
      </c>
      <c r="Z39" s="16">
        <v>95.5</v>
      </c>
      <c r="AA39" s="15">
        <v>15</v>
      </c>
      <c r="AB39" s="16">
        <v>283.6</v>
      </c>
      <c r="AC39" s="15">
        <v>11</v>
      </c>
      <c r="AD39" s="16">
        <v>191.7</v>
      </c>
      <c r="AE39" s="15">
        <v>2</v>
      </c>
      <c r="AF39" s="16">
        <v>4.9</v>
      </c>
      <c r="AG39" s="15">
        <v>4</v>
      </c>
      <c r="AH39" s="16">
        <v>15.1</v>
      </c>
      <c r="AI39" s="15">
        <v>1</v>
      </c>
      <c r="AJ39" s="16">
        <v>59.9</v>
      </c>
      <c r="AK39" s="15">
        <v>578</v>
      </c>
      <c r="AL39" s="16">
        <v>864.7900000000001</v>
      </c>
    </row>
    <row r="40" spans="1:38" s="18" customFormat="1" ht="16.5" customHeight="1">
      <c r="A40" s="36" t="s">
        <v>24</v>
      </c>
      <c r="B40" s="15">
        <v>114</v>
      </c>
      <c r="C40" s="16">
        <v>33.72</v>
      </c>
      <c r="D40" s="15">
        <v>27</v>
      </c>
      <c r="E40" s="16">
        <v>77.3</v>
      </c>
      <c r="F40" s="15">
        <v>28</v>
      </c>
      <c r="G40" s="16">
        <v>220.89999999999998</v>
      </c>
      <c r="H40" s="15">
        <v>55</v>
      </c>
      <c r="I40" s="16">
        <v>1895.1999999999998</v>
      </c>
      <c r="J40" s="15">
        <v>33</v>
      </c>
      <c r="K40" s="16">
        <v>683.28</v>
      </c>
      <c r="L40" s="15">
        <v>20</v>
      </c>
      <c r="M40" s="16">
        <v>892.6000000000001</v>
      </c>
      <c r="N40" s="15">
        <v>16</v>
      </c>
      <c r="O40" s="16">
        <v>375.7</v>
      </c>
      <c r="P40" s="15">
        <v>15</v>
      </c>
      <c r="Q40" s="16">
        <v>2022.5</v>
      </c>
      <c r="R40" s="15">
        <v>308</v>
      </c>
      <c r="S40" s="16">
        <v>6201.2</v>
      </c>
      <c r="T40" s="36" t="s">
        <v>24</v>
      </c>
      <c r="U40" s="15">
        <v>104</v>
      </c>
      <c r="V40" s="16">
        <v>30.22</v>
      </c>
      <c r="W40" s="15">
        <v>23</v>
      </c>
      <c r="X40" s="16">
        <v>60.4</v>
      </c>
      <c r="Y40" s="15">
        <v>27</v>
      </c>
      <c r="Z40" s="16">
        <v>201.27999999999997</v>
      </c>
      <c r="AA40" s="15">
        <v>53</v>
      </c>
      <c r="AB40" s="16">
        <v>938.6500000000001</v>
      </c>
      <c r="AC40" s="15">
        <v>33</v>
      </c>
      <c r="AD40" s="16">
        <v>483.78</v>
      </c>
      <c r="AE40" s="15">
        <v>17</v>
      </c>
      <c r="AF40" s="16">
        <v>805.72</v>
      </c>
      <c r="AG40" s="15">
        <v>16</v>
      </c>
      <c r="AH40" s="16">
        <v>190.3</v>
      </c>
      <c r="AI40" s="15">
        <v>14</v>
      </c>
      <c r="AJ40" s="16">
        <v>1249.5</v>
      </c>
      <c r="AK40" s="15">
        <v>287</v>
      </c>
      <c r="AL40" s="16">
        <v>3959.8500000000004</v>
      </c>
    </row>
    <row r="41" spans="1:38" s="18" customFormat="1" ht="16.5" customHeight="1">
      <c r="A41" s="31" t="s">
        <v>80</v>
      </c>
      <c r="B41" s="15">
        <v>582</v>
      </c>
      <c r="C41" s="16">
        <v>130.91000000000003</v>
      </c>
      <c r="D41" s="15">
        <v>106</v>
      </c>
      <c r="E41" s="16">
        <v>193.1</v>
      </c>
      <c r="F41" s="15">
        <v>45</v>
      </c>
      <c r="G41" s="16">
        <v>254</v>
      </c>
      <c r="H41" s="15">
        <v>48</v>
      </c>
      <c r="I41" s="16">
        <v>1737.5000000000002</v>
      </c>
      <c r="J41" s="15">
        <v>24</v>
      </c>
      <c r="K41" s="16">
        <v>515.6999999999999</v>
      </c>
      <c r="L41" s="15">
        <v>27</v>
      </c>
      <c r="M41" s="16">
        <v>642.9</v>
      </c>
      <c r="N41" s="15">
        <v>13</v>
      </c>
      <c r="O41" s="16">
        <v>257.82</v>
      </c>
      <c r="P41" s="15">
        <v>11</v>
      </c>
      <c r="Q41" s="16">
        <v>1413.6999999999998</v>
      </c>
      <c r="R41" s="15">
        <v>856</v>
      </c>
      <c r="S41" s="16">
        <v>5145.63</v>
      </c>
      <c r="T41" s="31" t="s">
        <v>80</v>
      </c>
      <c r="U41" s="15">
        <v>564</v>
      </c>
      <c r="V41" s="16">
        <v>119.31</v>
      </c>
      <c r="W41" s="15">
        <v>85</v>
      </c>
      <c r="X41" s="16">
        <v>134.79</v>
      </c>
      <c r="Y41" s="15">
        <v>39</v>
      </c>
      <c r="Z41" s="16">
        <v>210.00000000000003</v>
      </c>
      <c r="AA41" s="15">
        <v>45</v>
      </c>
      <c r="AB41" s="16">
        <v>932.4100000000001</v>
      </c>
      <c r="AC41" s="15">
        <v>22</v>
      </c>
      <c r="AD41" s="16">
        <v>391.00000000000006</v>
      </c>
      <c r="AE41" s="15">
        <v>24</v>
      </c>
      <c r="AF41" s="16">
        <v>361.09999999999997</v>
      </c>
      <c r="AG41" s="15">
        <v>12</v>
      </c>
      <c r="AH41" s="16">
        <v>219.5</v>
      </c>
      <c r="AI41" s="15">
        <v>11</v>
      </c>
      <c r="AJ41" s="16">
        <v>747.1</v>
      </c>
      <c r="AK41" s="15">
        <v>802</v>
      </c>
      <c r="AL41" s="16">
        <v>3115.21</v>
      </c>
    </row>
    <row r="42" spans="1:38" s="18" customFormat="1" ht="16.5" customHeight="1">
      <c r="A42" s="36" t="s">
        <v>22</v>
      </c>
      <c r="B42" s="15">
        <v>390</v>
      </c>
      <c r="C42" s="16">
        <v>86.8</v>
      </c>
      <c r="D42" s="15">
        <v>51</v>
      </c>
      <c r="E42" s="16">
        <v>81.8</v>
      </c>
      <c r="F42" s="15">
        <v>8</v>
      </c>
      <c r="G42" s="16">
        <v>37.3</v>
      </c>
      <c r="H42" s="15">
        <v>5</v>
      </c>
      <c r="I42" s="16">
        <v>113.5</v>
      </c>
      <c r="J42" s="15">
        <v>7</v>
      </c>
      <c r="K42" s="16">
        <v>88.3</v>
      </c>
      <c r="L42" s="15">
        <v>5</v>
      </c>
      <c r="M42" s="16">
        <v>89.80000000000001</v>
      </c>
      <c r="N42" s="15">
        <v>9</v>
      </c>
      <c r="O42" s="16">
        <v>68.12</v>
      </c>
      <c r="P42" s="15">
        <v>0</v>
      </c>
      <c r="Q42" s="16">
        <v>0</v>
      </c>
      <c r="R42" s="15">
        <v>475</v>
      </c>
      <c r="S42" s="16">
        <v>565.62</v>
      </c>
      <c r="T42" s="36" t="s">
        <v>22</v>
      </c>
      <c r="U42" s="15">
        <v>378</v>
      </c>
      <c r="V42" s="16">
        <v>77.95</v>
      </c>
      <c r="W42" s="15">
        <v>40</v>
      </c>
      <c r="X42" s="16">
        <v>49.54</v>
      </c>
      <c r="Y42" s="15">
        <v>6</v>
      </c>
      <c r="Z42" s="16">
        <v>28.200000000000003</v>
      </c>
      <c r="AA42" s="15">
        <v>5</v>
      </c>
      <c r="AB42" s="16">
        <v>102.9</v>
      </c>
      <c r="AC42" s="15">
        <v>6</v>
      </c>
      <c r="AD42" s="16">
        <v>74.1</v>
      </c>
      <c r="AE42" s="15">
        <v>5</v>
      </c>
      <c r="AF42" s="16">
        <v>67.3</v>
      </c>
      <c r="AG42" s="15">
        <v>8</v>
      </c>
      <c r="AH42" s="16">
        <v>57.400000000000006</v>
      </c>
      <c r="AI42" s="15">
        <v>0</v>
      </c>
      <c r="AJ42" s="16">
        <v>0</v>
      </c>
      <c r="AK42" s="15">
        <v>448</v>
      </c>
      <c r="AL42" s="16">
        <v>457.39</v>
      </c>
    </row>
    <row r="43" spans="1:38" s="18" customFormat="1" ht="16.5" customHeight="1">
      <c r="A43" s="36" t="s">
        <v>23</v>
      </c>
      <c r="B43" s="15">
        <v>96</v>
      </c>
      <c r="C43" s="16">
        <v>21.59</v>
      </c>
      <c r="D43" s="15">
        <v>19</v>
      </c>
      <c r="E43" s="16">
        <v>37</v>
      </c>
      <c r="F43" s="15">
        <v>6</v>
      </c>
      <c r="G43" s="16">
        <v>27.200000000000003</v>
      </c>
      <c r="H43" s="15">
        <v>3</v>
      </c>
      <c r="I43" s="16">
        <v>68</v>
      </c>
      <c r="J43" s="15">
        <v>1</v>
      </c>
      <c r="K43" s="16">
        <v>37.8</v>
      </c>
      <c r="L43" s="15">
        <v>3</v>
      </c>
      <c r="M43" s="16">
        <v>26.3</v>
      </c>
      <c r="N43" s="15">
        <v>0</v>
      </c>
      <c r="O43" s="16">
        <v>0</v>
      </c>
      <c r="P43" s="15">
        <v>0</v>
      </c>
      <c r="Q43" s="16">
        <v>0</v>
      </c>
      <c r="R43" s="15">
        <v>128</v>
      </c>
      <c r="S43" s="16">
        <v>217.89000000000001</v>
      </c>
      <c r="T43" s="36" t="s">
        <v>23</v>
      </c>
      <c r="U43" s="15">
        <v>94</v>
      </c>
      <c r="V43" s="16">
        <v>21.04</v>
      </c>
      <c r="W43" s="15">
        <v>17</v>
      </c>
      <c r="X43" s="16">
        <v>30.35</v>
      </c>
      <c r="Y43" s="15">
        <v>5</v>
      </c>
      <c r="Z43" s="16">
        <v>20.1</v>
      </c>
      <c r="AA43" s="15">
        <v>3</v>
      </c>
      <c r="AB43" s="16">
        <v>59.45</v>
      </c>
      <c r="AC43" s="15">
        <v>1</v>
      </c>
      <c r="AD43" s="16">
        <v>31.4</v>
      </c>
      <c r="AE43" s="15">
        <v>3</v>
      </c>
      <c r="AF43" s="16">
        <v>23.5</v>
      </c>
      <c r="AG43" s="15">
        <v>0</v>
      </c>
      <c r="AH43" s="16">
        <v>0</v>
      </c>
      <c r="AI43" s="15">
        <v>0</v>
      </c>
      <c r="AJ43" s="16">
        <v>0</v>
      </c>
      <c r="AK43" s="15">
        <v>123</v>
      </c>
      <c r="AL43" s="16">
        <v>185.84</v>
      </c>
    </row>
    <row r="44" spans="1:38" s="18" customFormat="1" ht="16.5" customHeight="1">
      <c r="A44" s="36" t="s">
        <v>24</v>
      </c>
      <c r="B44" s="15">
        <v>96</v>
      </c>
      <c r="C44" s="16">
        <v>22.52</v>
      </c>
      <c r="D44" s="15">
        <v>36</v>
      </c>
      <c r="E44" s="16">
        <v>74.3</v>
      </c>
      <c r="F44" s="15">
        <v>31</v>
      </c>
      <c r="G44" s="16">
        <v>189.5</v>
      </c>
      <c r="H44" s="15">
        <v>40</v>
      </c>
      <c r="I44" s="16">
        <v>1556</v>
      </c>
      <c r="J44" s="15">
        <v>16</v>
      </c>
      <c r="K44" s="16">
        <v>389.6</v>
      </c>
      <c r="L44" s="15">
        <v>19</v>
      </c>
      <c r="M44" s="16">
        <v>526.8000000000001</v>
      </c>
      <c r="N44" s="15">
        <v>4</v>
      </c>
      <c r="O44" s="16">
        <v>189.7</v>
      </c>
      <c r="P44" s="15">
        <v>11</v>
      </c>
      <c r="Q44" s="16">
        <v>1413.6999999999998</v>
      </c>
      <c r="R44" s="15">
        <v>253</v>
      </c>
      <c r="S44" s="16">
        <v>4362.120000000001</v>
      </c>
      <c r="T44" s="36" t="s">
        <v>24</v>
      </c>
      <c r="U44" s="15">
        <v>92</v>
      </c>
      <c r="V44" s="16">
        <v>20.32</v>
      </c>
      <c r="W44" s="15">
        <v>28</v>
      </c>
      <c r="X44" s="16">
        <v>54.9</v>
      </c>
      <c r="Y44" s="15">
        <v>28</v>
      </c>
      <c r="Z44" s="16">
        <v>161.7</v>
      </c>
      <c r="AA44" s="15">
        <v>37</v>
      </c>
      <c r="AB44" s="16">
        <v>770.0600000000001</v>
      </c>
      <c r="AC44" s="15">
        <v>15</v>
      </c>
      <c r="AD44" s="16">
        <v>285.5</v>
      </c>
      <c r="AE44" s="15">
        <v>16</v>
      </c>
      <c r="AF44" s="16">
        <v>270.3</v>
      </c>
      <c r="AG44" s="15">
        <v>4</v>
      </c>
      <c r="AH44" s="16">
        <v>162.1</v>
      </c>
      <c r="AI44" s="15">
        <v>11</v>
      </c>
      <c r="AJ44" s="16">
        <v>747.1</v>
      </c>
      <c r="AK44" s="15">
        <v>231</v>
      </c>
      <c r="AL44" s="16">
        <v>2471.98</v>
      </c>
    </row>
    <row r="45" spans="1:39" s="18" customFormat="1" ht="16.5" customHeight="1">
      <c r="A45" s="31" t="s">
        <v>81</v>
      </c>
      <c r="B45" s="15">
        <v>3760</v>
      </c>
      <c r="C45" s="16">
        <v>881.4300000000001</v>
      </c>
      <c r="D45" s="15">
        <v>534</v>
      </c>
      <c r="E45" s="16">
        <v>1069.6</v>
      </c>
      <c r="F45" s="15">
        <v>128</v>
      </c>
      <c r="G45" s="16">
        <v>741.4</v>
      </c>
      <c r="H45" s="15">
        <v>161</v>
      </c>
      <c r="I45" s="16">
        <v>4277.5</v>
      </c>
      <c r="J45" s="15">
        <v>82</v>
      </c>
      <c r="K45" s="16">
        <v>1737.7000000000003</v>
      </c>
      <c r="L45" s="15">
        <v>72</v>
      </c>
      <c r="M45" s="16">
        <v>1605.8999999999999</v>
      </c>
      <c r="N45" s="15">
        <v>40</v>
      </c>
      <c r="O45" s="16">
        <v>309.69999999999993</v>
      </c>
      <c r="P45" s="15">
        <v>20</v>
      </c>
      <c r="Q45" s="16">
        <v>2699.5</v>
      </c>
      <c r="R45" s="15">
        <v>4797</v>
      </c>
      <c r="S45" s="16">
        <v>13322.729999999998</v>
      </c>
      <c r="T45" s="31" t="s">
        <v>81</v>
      </c>
      <c r="U45" s="15">
        <v>3639</v>
      </c>
      <c r="V45" s="16">
        <v>837.03</v>
      </c>
      <c r="W45" s="15">
        <v>492</v>
      </c>
      <c r="X45" s="16">
        <v>891.9</v>
      </c>
      <c r="Y45" s="15">
        <v>123</v>
      </c>
      <c r="Z45" s="16">
        <v>659.1000000000001</v>
      </c>
      <c r="AA45" s="15">
        <v>152</v>
      </c>
      <c r="AB45" s="16">
        <v>2952.4</v>
      </c>
      <c r="AC45" s="15">
        <v>73</v>
      </c>
      <c r="AD45" s="16">
        <v>1414.7</v>
      </c>
      <c r="AE45" s="15">
        <v>63</v>
      </c>
      <c r="AF45" s="16">
        <v>899.9999999999999</v>
      </c>
      <c r="AG45" s="15">
        <v>33</v>
      </c>
      <c r="AH45" s="16">
        <v>241.31</v>
      </c>
      <c r="AI45" s="15">
        <v>20</v>
      </c>
      <c r="AJ45" s="16">
        <v>1486.8</v>
      </c>
      <c r="AK45" s="15">
        <v>4595</v>
      </c>
      <c r="AL45" s="16">
        <v>9383.24</v>
      </c>
      <c r="AM45" s="74"/>
    </row>
    <row r="46" spans="1:39" s="18" customFormat="1" ht="16.5" customHeight="1">
      <c r="A46" s="36" t="s">
        <v>22</v>
      </c>
      <c r="B46" s="15">
        <v>2728</v>
      </c>
      <c r="C46" s="16">
        <v>615.1</v>
      </c>
      <c r="D46" s="15">
        <v>273</v>
      </c>
      <c r="E46" s="16">
        <v>519.3</v>
      </c>
      <c r="F46" s="15">
        <v>37</v>
      </c>
      <c r="G46" s="16">
        <v>210.10000000000002</v>
      </c>
      <c r="H46" s="15">
        <v>40</v>
      </c>
      <c r="I46" s="16">
        <v>807.7999999999998</v>
      </c>
      <c r="J46" s="15">
        <v>18</v>
      </c>
      <c r="K46" s="16">
        <v>346.5</v>
      </c>
      <c r="L46" s="15">
        <v>17</v>
      </c>
      <c r="M46" s="16">
        <v>304.2</v>
      </c>
      <c r="N46" s="15">
        <v>17</v>
      </c>
      <c r="O46" s="16">
        <v>87.19999999999999</v>
      </c>
      <c r="P46" s="15">
        <v>1</v>
      </c>
      <c r="Q46" s="16">
        <v>126.9</v>
      </c>
      <c r="R46" s="15">
        <v>3131</v>
      </c>
      <c r="S46" s="16">
        <v>3017.1000000000004</v>
      </c>
      <c r="T46" s="36" t="s">
        <v>22</v>
      </c>
      <c r="U46" s="15">
        <v>2652</v>
      </c>
      <c r="V46" s="16">
        <v>583.53</v>
      </c>
      <c r="W46" s="15">
        <v>256</v>
      </c>
      <c r="X46" s="16">
        <v>443.40000000000003</v>
      </c>
      <c r="Y46" s="15">
        <v>37</v>
      </c>
      <c r="Z46" s="16">
        <v>201</v>
      </c>
      <c r="AA46" s="15">
        <v>38</v>
      </c>
      <c r="AB46" s="16">
        <v>697.1</v>
      </c>
      <c r="AC46" s="15">
        <v>17</v>
      </c>
      <c r="AD46" s="16">
        <v>285.9</v>
      </c>
      <c r="AE46" s="15">
        <v>16</v>
      </c>
      <c r="AF46" s="16">
        <v>177.7</v>
      </c>
      <c r="AG46" s="15">
        <v>14</v>
      </c>
      <c r="AH46" s="16">
        <v>43.9</v>
      </c>
      <c r="AI46" s="15">
        <v>1</v>
      </c>
      <c r="AJ46" s="16">
        <v>125.4</v>
      </c>
      <c r="AK46" s="15">
        <v>3031</v>
      </c>
      <c r="AL46" s="16">
        <v>2557.93</v>
      </c>
      <c r="AM46" s="74"/>
    </row>
    <row r="47" spans="1:38" s="18" customFormat="1" ht="16.5" customHeight="1">
      <c r="A47" s="36" t="s">
        <v>23</v>
      </c>
      <c r="B47" s="15">
        <v>796</v>
      </c>
      <c r="C47" s="16">
        <v>191.95</v>
      </c>
      <c r="D47" s="15">
        <v>141</v>
      </c>
      <c r="E47" s="16">
        <v>270.7</v>
      </c>
      <c r="F47" s="15">
        <v>29</v>
      </c>
      <c r="G47" s="16">
        <v>175</v>
      </c>
      <c r="H47" s="15">
        <v>38</v>
      </c>
      <c r="I47" s="16">
        <v>731.4000000000001</v>
      </c>
      <c r="J47" s="15">
        <v>26</v>
      </c>
      <c r="K47" s="16">
        <v>474.7</v>
      </c>
      <c r="L47" s="15">
        <v>11</v>
      </c>
      <c r="M47" s="16">
        <v>190</v>
      </c>
      <c r="N47" s="15">
        <v>6</v>
      </c>
      <c r="O47" s="16">
        <v>17</v>
      </c>
      <c r="P47" s="15">
        <v>1</v>
      </c>
      <c r="Q47" s="16">
        <v>2.5</v>
      </c>
      <c r="R47" s="15">
        <v>1048</v>
      </c>
      <c r="S47" s="16">
        <v>2053.25</v>
      </c>
      <c r="T47" s="36" t="s">
        <v>23</v>
      </c>
      <c r="U47" s="15">
        <v>760</v>
      </c>
      <c r="V47" s="16">
        <v>181.68000000000004</v>
      </c>
      <c r="W47" s="15">
        <v>122</v>
      </c>
      <c r="X47" s="16">
        <v>220.40000000000003</v>
      </c>
      <c r="Y47" s="15">
        <v>27</v>
      </c>
      <c r="Z47" s="16">
        <v>148.2</v>
      </c>
      <c r="AA47" s="15">
        <v>34</v>
      </c>
      <c r="AB47" s="16">
        <v>566.3</v>
      </c>
      <c r="AC47" s="15">
        <v>22</v>
      </c>
      <c r="AD47" s="16">
        <v>393.6</v>
      </c>
      <c r="AE47" s="15">
        <v>10</v>
      </c>
      <c r="AF47" s="16">
        <v>51.1</v>
      </c>
      <c r="AG47" s="15">
        <v>5</v>
      </c>
      <c r="AH47" s="16">
        <v>14.71</v>
      </c>
      <c r="AI47" s="15">
        <v>1</v>
      </c>
      <c r="AJ47" s="16">
        <v>2.5</v>
      </c>
      <c r="AK47" s="15">
        <v>981</v>
      </c>
      <c r="AL47" s="16">
        <v>1578.4900000000002</v>
      </c>
    </row>
    <row r="48" spans="1:38" s="18" customFormat="1" ht="16.5" customHeight="1">
      <c r="A48" s="36" t="s">
        <v>24</v>
      </c>
      <c r="B48" s="15">
        <v>236</v>
      </c>
      <c r="C48" s="16">
        <v>74.38</v>
      </c>
      <c r="D48" s="15">
        <v>120</v>
      </c>
      <c r="E48" s="16">
        <v>279.6</v>
      </c>
      <c r="F48" s="15">
        <v>62</v>
      </c>
      <c r="G48" s="16">
        <v>356.29999999999995</v>
      </c>
      <c r="H48" s="15">
        <v>83</v>
      </c>
      <c r="I48" s="16">
        <v>2738.3</v>
      </c>
      <c r="J48" s="15">
        <v>38</v>
      </c>
      <c r="K48" s="16">
        <v>916.5</v>
      </c>
      <c r="L48" s="15">
        <v>44</v>
      </c>
      <c r="M48" s="16">
        <v>1111.6999999999998</v>
      </c>
      <c r="N48" s="15">
        <v>17</v>
      </c>
      <c r="O48" s="16">
        <v>205.5</v>
      </c>
      <c r="P48" s="15">
        <v>18</v>
      </c>
      <c r="Q48" s="16">
        <v>2570.1</v>
      </c>
      <c r="R48" s="15">
        <v>618</v>
      </c>
      <c r="S48" s="16">
        <v>8252.380000000001</v>
      </c>
      <c r="T48" s="36" t="s">
        <v>24</v>
      </c>
      <c r="U48" s="15">
        <v>227</v>
      </c>
      <c r="V48" s="16">
        <v>71.82</v>
      </c>
      <c r="W48" s="15">
        <v>114</v>
      </c>
      <c r="X48" s="16">
        <v>228.09999999999997</v>
      </c>
      <c r="Y48" s="15">
        <v>59</v>
      </c>
      <c r="Z48" s="16">
        <v>309.9</v>
      </c>
      <c r="AA48" s="15">
        <v>80</v>
      </c>
      <c r="AB48" s="16">
        <v>1689</v>
      </c>
      <c r="AC48" s="15">
        <v>34</v>
      </c>
      <c r="AD48" s="16">
        <v>735.1999999999999</v>
      </c>
      <c r="AE48" s="15">
        <v>37</v>
      </c>
      <c r="AF48" s="16">
        <v>671.2</v>
      </c>
      <c r="AG48" s="15">
        <v>14</v>
      </c>
      <c r="AH48" s="16">
        <v>182.70000000000002</v>
      </c>
      <c r="AI48" s="15">
        <v>18</v>
      </c>
      <c r="AJ48" s="16">
        <v>1358.8999999999999</v>
      </c>
      <c r="AK48" s="15">
        <v>583</v>
      </c>
      <c r="AL48" s="16">
        <v>5246.820000000001</v>
      </c>
    </row>
    <row r="49" spans="1:38" s="18" customFormat="1" ht="16.5" customHeight="1">
      <c r="A49" s="31" t="s">
        <v>104</v>
      </c>
      <c r="B49" s="15">
        <v>387</v>
      </c>
      <c r="C49" s="16">
        <v>95.11000000000001</v>
      </c>
      <c r="D49" s="15">
        <v>85</v>
      </c>
      <c r="E49" s="16">
        <v>194.2</v>
      </c>
      <c r="F49" s="15">
        <v>26</v>
      </c>
      <c r="G49" s="16">
        <v>139.7</v>
      </c>
      <c r="H49" s="15">
        <v>25</v>
      </c>
      <c r="I49" s="16">
        <v>462.9</v>
      </c>
      <c r="J49" s="15">
        <v>11</v>
      </c>
      <c r="K49" s="16">
        <v>229.9</v>
      </c>
      <c r="L49" s="15">
        <v>3</v>
      </c>
      <c r="M49" s="16">
        <v>58.5</v>
      </c>
      <c r="N49" s="15">
        <v>2</v>
      </c>
      <c r="O49" s="16">
        <v>289.9</v>
      </c>
      <c r="P49" s="15">
        <v>8</v>
      </c>
      <c r="Q49" s="16">
        <v>656.6</v>
      </c>
      <c r="R49" s="15">
        <v>547</v>
      </c>
      <c r="S49" s="16">
        <v>2126.81</v>
      </c>
      <c r="T49" s="31" t="s">
        <v>71</v>
      </c>
      <c r="U49" s="15">
        <v>325</v>
      </c>
      <c r="V49" s="16">
        <v>76.03999999999999</v>
      </c>
      <c r="W49" s="15">
        <v>69</v>
      </c>
      <c r="X49" s="16">
        <v>132.5</v>
      </c>
      <c r="Y49" s="15">
        <v>24</v>
      </c>
      <c r="Z49" s="16">
        <v>108.3</v>
      </c>
      <c r="AA49" s="15">
        <v>23</v>
      </c>
      <c r="AB49" s="16">
        <v>265.9</v>
      </c>
      <c r="AC49" s="15">
        <v>11</v>
      </c>
      <c r="AD49" s="16">
        <v>199.7</v>
      </c>
      <c r="AE49" s="15">
        <v>2</v>
      </c>
      <c r="AF49" s="16">
        <v>24.7</v>
      </c>
      <c r="AG49" s="15">
        <v>2</v>
      </c>
      <c r="AH49" s="16">
        <v>15.3</v>
      </c>
      <c r="AI49" s="15">
        <v>8</v>
      </c>
      <c r="AJ49" s="16">
        <v>451.1</v>
      </c>
      <c r="AK49" s="15">
        <v>464</v>
      </c>
      <c r="AL49" s="16">
        <v>1273.54</v>
      </c>
    </row>
    <row r="50" spans="1:38" s="18" customFormat="1" ht="16.5" customHeight="1">
      <c r="A50" s="36" t="s">
        <v>22</v>
      </c>
      <c r="B50" s="15">
        <v>285</v>
      </c>
      <c r="C50" s="16">
        <v>65.68</v>
      </c>
      <c r="D50" s="15">
        <v>46</v>
      </c>
      <c r="E50" s="16">
        <v>99.8</v>
      </c>
      <c r="F50" s="15">
        <v>11</v>
      </c>
      <c r="G50" s="16">
        <v>53.4</v>
      </c>
      <c r="H50" s="15">
        <v>11</v>
      </c>
      <c r="I50" s="16">
        <v>184</v>
      </c>
      <c r="J50" s="15">
        <v>6</v>
      </c>
      <c r="K50" s="16">
        <v>133.8</v>
      </c>
      <c r="L50" s="15">
        <v>0</v>
      </c>
      <c r="M50" s="16">
        <v>0</v>
      </c>
      <c r="N50" s="15">
        <v>0</v>
      </c>
      <c r="O50" s="16">
        <v>0</v>
      </c>
      <c r="P50" s="15">
        <v>1</v>
      </c>
      <c r="Q50" s="16">
        <v>71.1</v>
      </c>
      <c r="R50" s="15">
        <v>360</v>
      </c>
      <c r="S50" s="16">
        <v>607.78</v>
      </c>
      <c r="T50" s="36" t="s">
        <v>22</v>
      </c>
      <c r="U50" s="15">
        <v>246</v>
      </c>
      <c r="V50" s="16">
        <v>54.14</v>
      </c>
      <c r="W50" s="15">
        <v>38</v>
      </c>
      <c r="X50" s="16">
        <v>69.8</v>
      </c>
      <c r="Y50" s="15">
        <v>10</v>
      </c>
      <c r="Z50" s="16">
        <v>38.2</v>
      </c>
      <c r="AA50" s="15">
        <v>11</v>
      </c>
      <c r="AB50" s="16">
        <v>137.9</v>
      </c>
      <c r="AC50" s="15">
        <v>6</v>
      </c>
      <c r="AD50" s="16">
        <v>115.5</v>
      </c>
      <c r="AE50" s="15">
        <v>0</v>
      </c>
      <c r="AF50" s="16">
        <v>0</v>
      </c>
      <c r="AG50" s="15">
        <v>0</v>
      </c>
      <c r="AH50" s="16">
        <v>0</v>
      </c>
      <c r="AI50" s="15">
        <v>1</v>
      </c>
      <c r="AJ50" s="16">
        <v>59</v>
      </c>
      <c r="AK50" s="15">
        <v>312</v>
      </c>
      <c r="AL50" s="16">
        <v>474.54</v>
      </c>
    </row>
    <row r="51" spans="1:38" s="18" customFormat="1" ht="16.5" customHeight="1">
      <c r="A51" s="36" t="s">
        <v>23</v>
      </c>
      <c r="B51" s="15">
        <v>70</v>
      </c>
      <c r="C51" s="16">
        <v>19.36</v>
      </c>
      <c r="D51" s="15">
        <v>27</v>
      </c>
      <c r="E51" s="16">
        <v>71.6</v>
      </c>
      <c r="F51" s="15">
        <v>3</v>
      </c>
      <c r="G51" s="16">
        <v>17.9</v>
      </c>
      <c r="H51" s="15">
        <v>2</v>
      </c>
      <c r="I51" s="16">
        <v>27.6</v>
      </c>
      <c r="J51" s="15">
        <v>3</v>
      </c>
      <c r="K51" s="16">
        <v>55.6</v>
      </c>
      <c r="L51" s="15">
        <v>1</v>
      </c>
      <c r="M51" s="16">
        <v>25.1</v>
      </c>
      <c r="N51" s="15">
        <v>0</v>
      </c>
      <c r="O51" s="16">
        <v>0</v>
      </c>
      <c r="P51" s="15">
        <v>0</v>
      </c>
      <c r="Q51" s="16">
        <v>0</v>
      </c>
      <c r="R51" s="15">
        <v>106</v>
      </c>
      <c r="S51" s="16">
        <v>217.16</v>
      </c>
      <c r="T51" s="36" t="s">
        <v>23</v>
      </c>
      <c r="U51" s="15">
        <v>52</v>
      </c>
      <c r="V51" s="16">
        <v>13.46</v>
      </c>
      <c r="W51" s="15">
        <v>21</v>
      </c>
      <c r="X51" s="16">
        <v>46.7</v>
      </c>
      <c r="Y51" s="15">
        <v>2</v>
      </c>
      <c r="Z51" s="16">
        <v>10.3</v>
      </c>
      <c r="AA51" s="15">
        <v>2</v>
      </c>
      <c r="AB51" s="16">
        <v>20.9</v>
      </c>
      <c r="AC51" s="15">
        <v>3</v>
      </c>
      <c r="AD51" s="16">
        <v>50.6</v>
      </c>
      <c r="AE51" s="15">
        <v>0</v>
      </c>
      <c r="AF51" s="16">
        <v>0</v>
      </c>
      <c r="AG51" s="15">
        <v>0</v>
      </c>
      <c r="AH51" s="16">
        <v>0</v>
      </c>
      <c r="AI51" s="15">
        <v>0</v>
      </c>
      <c r="AJ51" s="16">
        <v>0</v>
      </c>
      <c r="AK51" s="15">
        <v>80</v>
      </c>
      <c r="AL51" s="16">
        <v>141.96</v>
      </c>
    </row>
    <row r="52" spans="1:38" s="18" customFormat="1" ht="16.5" customHeight="1">
      <c r="A52" s="36" t="s">
        <v>24</v>
      </c>
      <c r="B52" s="15">
        <v>32</v>
      </c>
      <c r="C52" s="16">
        <v>10.07</v>
      </c>
      <c r="D52" s="15">
        <v>12</v>
      </c>
      <c r="E52" s="16">
        <v>22.8</v>
      </c>
      <c r="F52" s="15">
        <v>12</v>
      </c>
      <c r="G52" s="16">
        <v>68.4</v>
      </c>
      <c r="H52" s="15">
        <v>12</v>
      </c>
      <c r="I52" s="16">
        <v>251.3</v>
      </c>
      <c r="J52" s="15">
        <v>2</v>
      </c>
      <c r="K52" s="16">
        <v>40.5</v>
      </c>
      <c r="L52" s="15">
        <v>2</v>
      </c>
      <c r="M52" s="16">
        <v>33.4</v>
      </c>
      <c r="N52" s="15">
        <v>2</v>
      </c>
      <c r="O52" s="16">
        <v>289.9</v>
      </c>
      <c r="P52" s="15">
        <v>7</v>
      </c>
      <c r="Q52" s="16">
        <v>585.5</v>
      </c>
      <c r="R52" s="15">
        <v>81</v>
      </c>
      <c r="S52" s="16">
        <v>1301.87</v>
      </c>
      <c r="T52" s="36" t="s">
        <v>24</v>
      </c>
      <c r="U52" s="15">
        <v>27</v>
      </c>
      <c r="V52" s="16">
        <v>8.44</v>
      </c>
      <c r="W52" s="15">
        <v>10</v>
      </c>
      <c r="X52" s="16">
        <v>16</v>
      </c>
      <c r="Y52" s="15">
        <v>12</v>
      </c>
      <c r="Z52" s="16">
        <v>59.8</v>
      </c>
      <c r="AA52" s="15">
        <v>10</v>
      </c>
      <c r="AB52" s="16">
        <v>107.1</v>
      </c>
      <c r="AC52" s="15">
        <v>2</v>
      </c>
      <c r="AD52" s="16">
        <v>33.6</v>
      </c>
      <c r="AE52" s="15">
        <v>2</v>
      </c>
      <c r="AF52" s="16">
        <v>24.7</v>
      </c>
      <c r="AG52" s="15">
        <v>2</v>
      </c>
      <c r="AH52" s="16">
        <v>15.3</v>
      </c>
      <c r="AI52" s="15">
        <v>7</v>
      </c>
      <c r="AJ52" s="16">
        <v>392.1</v>
      </c>
      <c r="AK52" s="15">
        <v>72</v>
      </c>
      <c r="AL52" s="16">
        <v>657.04</v>
      </c>
    </row>
    <row r="53" spans="1:38" s="18" customFormat="1" ht="16.5" customHeight="1">
      <c r="A53" s="32"/>
      <c r="B53" s="19"/>
      <c r="C53" s="20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0"/>
      <c r="P53" s="19"/>
      <c r="Q53" s="20"/>
      <c r="R53" s="19"/>
      <c r="S53" s="20"/>
      <c r="T53" s="32"/>
      <c r="U53" s="19"/>
      <c r="V53" s="20"/>
      <c r="W53" s="19"/>
      <c r="X53" s="20"/>
      <c r="Y53" s="19"/>
      <c r="Z53" s="20"/>
      <c r="AA53" s="19"/>
      <c r="AB53" s="20"/>
      <c r="AC53" s="19"/>
      <c r="AD53" s="20"/>
      <c r="AE53" s="19"/>
      <c r="AF53" s="20"/>
      <c r="AG53" s="19"/>
      <c r="AH53" s="20"/>
      <c r="AI53" s="19"/>
      <c r="AJ53" s="20"/>
      <c r="AK53" s="19"/>
      <c r="AL53" s="20"/>
    </row>
    <row r="54" spans="1:38" ht="13.5">
      <c r="A54" s="32" t="s">
        <v>25</v>
      </c>
      <c r="B54" s="75">
        <v>3318</v>
      </c>
      <c r="C54" s="76">
        <v>770.2</v>
      </c>
      <c r="D54" s="75">
        <v>463</v>
      </c>
      <c r="E54" s="76">
        <v>894.5</v>
      </c>
      <c r="F54" s="75">
        <v>102</v>
      </c>
      <c r="G54" s="76">
        <v>555.5999999999999</v>
      </c>
      <c r="H54" s="75">
        <v>97</v>
      </c>
      <c r="I54" s="76">
        <v>3444.3</v>
      </c>
      <c r="J54" s="75">
        <v>49</v>
      </c>
      <c r="K54" s="76">
        <v>1143</v>
      </c>
      <c r="L54" s="75">
        <v>15</v>
      </c>
      <c r="M54" s="76">
        <v>595.0999999999999</v>
      </c>
      <c r="N54" s="75">
        <v>11</v>
      </c>
      <c r="O54" s="76">
        <v>644.3000000000001</v>
      </c>
      <c r="P54" s="75">
        <v>12</v>
      </c>
      <c r="Q54" s="76">
        <v>1672.2</v>
      </c>
      <c r="R54" s="75">
        <v>4067</v>
      </c>
      <c r="S54" s="76">
        <v>9719.2</v>
      </c>
      <c r="T54" s="32" t="s">
        <v>25</v>
      </c>
      <c r="U54" s="75">
        <v>3237</v>
      </c>
      <c r="V54" s="76">
        <v>748.89</v>
      </c>
      <c r="W54" s="75">
        <v>446</v>
      </c>
      <c r="X54" s="76">
        <v>850.3999999999999</v>
      </c>
      <c r="Y54" s="75">
        <v>97</v>
      </c>
      <c r="Z54" s="76">
        <v>512.6</v>
      </c>
      <c r="AA54" s="75">
        <v>91</v>
      </c>
      <c r="AB54" s="76">
        <v>2830.2999999999997</v>
      </c>
      <c r="AC54" s="75">
        <v>48</v>
      </c>
      <c r="AD54" s="76">
        <v>932.8</v>
      </c>
      <c r="AE54" s="75">
        <v>14</v>
      </c>
      <c r="AF54" s="76">
        <v>566.1999999999999</v>
      </c>
      <c r="AG54" s="75">
        <v>11</v>
      </c>
      <c r="AH54" s="76">
        <v>170.4</v>
      </c>
      <c r="AI54" s="75">
        <v>12</v>
      </c>
      <c r="AJ54" s="76">
        <v>1390.8</v>
      </c>
      <c r="AK54" s="75">
        <v>3956</v>
      </c>
      <c r="AL54" s="76">
        <v>8002.389999999999</v>
      </c>
    </row>
    <row r="55" spans="1:38" ht="13.5">
      <c r="A55" s="32" t="s">
        <v>22</v>
      </c>
      <c r="B55" s="75">
        <v>2570</v>
      </c>
      <c r="C55" s="76">
        <v>582.88</v>
      </c>
      <c r="D55" s="75">
        <v>297</v>
      </c>
      <c r="E55" s="76">
        <v>529.1</v>
      </c>
      <c r="F55" s="75">
        <v>50</v>
      </c>
      <c r="G55" s="76">
        <v>282.9</v>
      </c>
      <c r="H55" s="75">
        <v>26</v>
      </c>
      <c r="I55" s="76">
        <v>698.1</v>
      </c>
      <c r="J55" s="75">
        <v>16</v>
      </c>
      <c r="K55" s="76">
        <v>247.6</v>
      </c>
      <c r="L55" s="75">
        <v>1</v>
      </c>
      <c r="M55" s="76">
        <v>0.6</v>
      </c>
      <c r="N55" s="75">
        <v>2</v>
      </c>
      <c r="O55" s="76">
        <v>3.6</v>
      </c>
      <c r="P55" s="75">
        <v>0</v>
      </c>
      <c r="Q55" s="76">
        <v>16</v>
      </c>
      <c r="R55" s="75">
        <v>2962</v>
      </c>
      <c r="S55" s="76">
        <v>2360.78</v>
      </c>
      <c r="T55" s="32" t="s">
        <v>22</v>
      </c>
      <c r="U55" s="75">
        <v>2543</v>
      </c>
      <c r="V55" s="76">
        <v>576.66</v>
      </c>
      <c r="W55" s="75">
        <v>292</v>
      </c>
      <c r="X55" s="76">
        <v>517.3</v>
      </c>
      <c r="Y55" s="75">
        <v>50</v>
      </c>
      <c r="Z55" s="76">
        <v>277.5</v>
      </c>
      <c r="AA55" s="75">
        <v>26</v>
      </c>
      <c r="AB55" s="76">
        <v>601.9</v>
      </c>
      <c r="AC55" s="75">
        <v>16</v>
      </c>
      <c r="AD55" s="76">
        <v>245.2</v>
      </c>
      <c r="AE55" s="75">
        <v>1</v>
      </c>
      <c r="AF55" s="76">
        <v>0.6</v>
      </c>
      <c r="AG55" s="75">
        <v>2</v>
      </c>
      <c r="AH55" s="76">
        <v>3.5</v>
      </c>
      <c r="AI55" s="75">
        <v>0</v>
      </c>
      <c r="AJ55" s="76">
        <v>16</v>
      </c>
      <c r="AK55" s="75">
        <v>2930</v>
      </c>
      <c r="AL55" s="76">
        <v>2238.66</v>
      </c>
    </row>
    <row r="56" spans="1:38" ht="13.5">
      <c r="A56" s="32" t="s">
        <v>23</v>
      </c>
      <c r="B56" s="75">
        <v>730</v>
      </c>
      <c r="C56" s="76">
        <v>181.13</v>
      </c>
      <c r="D56" s="75">
        <v>151</v>
      </c>
      <c r="E56" s="76">
        <v>321.5</v>
      </c>
      <c r="F56" s="75">
        <v>41</v>
      </c>
      <c r="G56" s="76">
        <v>207.7</v>
      </c>
      <c r="H56" s="75">
        <v>31</v>
      </c>
      <c r="I56" s="76">
        <v>733.5</v>
      </c>
      <c r="J56" s="75">
        <v>11</v>
      </c>
      <c r="K56" s="76">
        <v>211.4</v>
      </c>
      <c r="L56" s="75">
        <v>2</v>
      </c>
      <c r="M56" s="76">
        <v>9.2</v>
      </c>
      <c r="N56" s="75">
        <v>3</v>
      </c>
      <c r="O56" s="76">
        <v>21.6</v>
      </c>
      <c r="P56" s="75">
        <v>1</v>
      </c>
      <c r="Q56" s="76">
        <v>68.7</v>
      </c>
      <c r="R56" s="75">
        <v>970</v>
      </c>
      <c r="S56" s="76">
        <v>1754.73</v>
      </c>
      <c r="T56" s="32" t="s">
        <v>23</v>
      </c>
      <c r="U56" s="75">
        <v>680</v>
      </c>
      <c r="V56" s="76">
        <v>167.61</v>
      </c>
      <c r="W56" s="75">
        <v>140</v>
      </c>
      <c r="X56" s="76">
        <v>295.8</v>
      </c>
      <c r="Y56" s="75">
        <v>36</v>
      </c>
      <c r="Z56" s="76">
        <v>174.6</v>
      </c>
      <c r="AA56" s="75">
        <v>30</v>
      </c>
      <c r="AB56" s="76">
        <v>657.8</v>
      </c>
      <c r="AC56" s="75">
        <v>12</v>
      </c>
      <c r="AD56" s="76">
        <v>190.2</v>
      </c>
      <c r="AE56" s="75">
        <v>2</v>
      </c>
      <c r="AF56" s="76">
        <v>9.2</v>
      </c>
      <c r="AG56" s="75">
        <v>3</v>
      </c>
      <c r="AH56" s="76">
        <v>21.5</v>
      </c>
      <c r="AI56" s="75">
        <v>1</v>
      </c>
      <c r="AJ56" s="76">
        <v>68.7</v>
      </c>
      <c r="AK56" s="75">
        <v>904</v>
      </c>
      <c r="AL56" s="76">
        <v>1585.41</v>
      </c>
    </row>
    <row r="57" spans="1:38" ht="13.5">
      <c r="A57" s="32" t="s">
        <v>24</v>
      </c>
      <c r="B57" s="75">
        <v>18</v>
      </c>
      <c r="C57" s="76">
        <v>6.19</v>
      </c>
      <c r="D57" s="75">
        <v>15</v>
      </c>
      <c r="E57" s="76">
        <v>43.9</v>
      </c>
      <c r="F57" s="75">
        <v>11</v>
      </c>
      <c r="G57" s="76">
        <v>65</v>
      </c>
      <c r="H57" s="75">
        <v>40</v>
      </c>
      <c r="I57" s="76">
        <v>2012.7</v>
      </c>
      <c r="J57" s="75">
        <v>22</v>
      </c>
      <c r="K57" s="76">
        <v>684</v>
      </c>
      <c r="L57" s="75">
        <v>12</v>
      </c>
      <c r="M57" s="76">
        <v>585.3</v>
      </c>
      <c r="N57" s="75">
        <v>6</v>
      </c>
      <c r="O57" s="76">
        <v>619.1</v>
      </c>
      <c r="P57" s="75">
        <v>11</v>
      </c>
      <c r="Q57" s="76">
        <v>1587.5</v>
      </c>
      <c r="R57" s="75">
        <v>135</v>
      </c>
      <c r="S57" s="76">
        <v>5603.69</v>
      </c>
      <c r="T57" s="32" t="s">
        <v>24</v>
      </c>
      <c r="U57" s="75">
        <v>14</v>
      </c>
      <c r="V57" s="76">
        <v>4.62</v>
      </c>
      <c r="W57" s="75">
        <v>14</v>
      </c>
      <c r="X57" s="76">
        <v>37.3</v>
      </c>
      <c r="Y57" s="75">
        <v>11</v>
      </c>
      <c r="Z57" s="76">
        <v>60.5</v>
      </c>
      <c r="AA57" s="75">
        <v>35</v>
      </c>
      <c r="AB57" s="76">
        <v>1570.6</v>
      </c>
      <c r="AC57" s="75">
        <v>20</v>
      </c>
      <c r="AD57" s="76">
        <v>497.4</v>
      </c>
      <c r="AE57" s="75">
        <v>11</v>
      </c>
      <c r="AF57" s="76">
        <v>556.4</v>
      </c>
      <c r="AG57" s="75">
        <v>6</v>
      </c>
      <c r="AH57" s="76">
        <v>145.4</v>
      </c>
      <c r="AI57" s="75">
        <v>11</v>
      </c>
      <c r="AJ57" s="76">
        <v>1306.1</v>
      </c>
      <c r="AK57" s="75">
        <v>122</v>
      </c>
      <c r="AL57" s="76">
        <v>4178.32</v>
      </c>
    </row>
    <row r="58" spans="1:38" ht="13.5">
      <c r="A58" s="32"/>
      <c r="B58" s="19"/>
      <c r="C58" s="20"/>
      <c r="D58" s="19"/>
      <c r="E58" s="20"/>
      <c r="F58" s="19"/>
      <c r="G58" s="20"/>
      <c r="H58" s="19"/>
      <c r="I58" s="20"/>
      <c r="J58" s="19"/>
      <c r="K58" s="20"/>
      <c r="L58" s="19"/>
      <c r="M58" s="20"/>
      <c r="N58" s="19"/>
      <c r="O58" s="20"/>
      <c r="P58" s="19"/>
      <c r="Q58" s="20"/>
      <c r="R58" s="19"/>
      <c r="S58" s="20"/>
      <c r="T58" s="32"/>
      <c r="U58" s="19"/>
      <c r="V58" s="20"/>
      <c r="W58" s="19"/>
      <c r="X58" s="20"/>
      <c r="Y58" s="19"/>
      <c r="Z58" s="20"/>
      <c r="AA58" s="19"/>
      <c r="AB58" s="20"/>
      <c r="AC58" s="19"/>
      <c r="AD58" s="20"/>
      <c r="AE58" s="19"/>
      <c r="AF58" s="20"/>
      <c r="AG58" s="19"/>
      <c r="AH58" s="20"/>
      <c r="AI58" s="19"/>
      <c r="AJ58" s="20"/>
      <c r="AK58" s="19"/>
      <c r="AL58" s="20"/>
    </row>
    <row r="59" spans="1:38" ht="13.5">
      <c r="A59" s="32" t="s">
        <v>26</v>
      </c>
      <c r="B59" s="75">
        <v>329</v>
      </c>
      <c r="C59" s="76">
        <v>92.7</v>
      </c>
      <c r="D59" s="75">
        <v>53</v>
      </c>
      <c r="E59" s="76">
        <v>94</v>
      </c>
      <c r="F59" s="75">
        <v>17</v>
      </c>
      <c r="G59" s="76">
        <v>105.9</v>
      </c>
      <c r="H59" s="75">
        <v>16</v>
      </c>
      <c r="I59" s="76">
        <v>588</v>
      </c>
      <c r="J59" s="75">
        <v>14</v>
      </c>
      <c r="K59" s="76">
        <v>428.9</v>
      </c>
      <c r="L59" s="75">
        <v>2</v>
      </c>
      <c r="M59" s="76">
        <v>24.4</v>
      </c>
      <c r="N59" s="75">
        <v>0</v>
      </c>
      <c r="O59" s="76">
        <v>0</v>
      </c>
      <c r="P59" s="75">
        <v>3</v>
      </c>
      <c r="Q59" s="76">
        <v>450</v>
      </c>
      <c r="R59" s="75">
        <v>435</v>
      </c>
      <c r="S59" s="76">
        <v>1803.6</v>
      </c>
      <c r="T59" s="32" t="s">
        <v>26</v>
      </c>
      <c r="U59" s="75">
        <v>309</v>
      </c>
      <c r="V59" s="76">
        <v>86.69000000000001</v>
      </c>
      <c r="W59" s="75">
        <v>50</v>
      </c>
      <c r="X59" s="76">
        <v>86.06</v>
      </c>
      <c r="Y59" s="75">
        <v>17</v>
      </c>
      <c r="Z59" s="76">
        <v>89</v>
      </c>
      <c r="AA59" s="75">
        <v>16</v>
      </c>
      <c r="AB59" s="76">
        <v>553.9000000000001</v>
      </c>
      <c r="AC59" s="75">
        <v>14</v>
      </c>
      <c r="AD59" s="76">
        <v>265.6</v>
      </c>
      <c r="AE59" s="75">
        <v>2</v>
      </c>
      <c r="AF59" s="76">
        <v>24.4</v>
      </c>
      <c r="AG59" s="75">
        <v>1</v>
      </c>
      <c r="AH59" s="76">
        <v>15.3</v>
      </c>
      <c r="AI59" s="75">
        <v>3</v>
      </c>
      <c r="AJ59" s="76">
        <v>378.5</v>
      </c>
      <c r="AK59" s="75">
        <v>412</v>
      </c>
      <c r="AL59" s="76">
        <v>1499.45</v>
      </c>
    </row>
    <row r="60" spans="1:38" ht="13.5">
      <c r="A60" s="32" t="s">
        <v>22</v>
      </c>
      <c r="B60" s="75">
        <v>237</v>
      </c>
      <c r="C60" s="76">
        <v>67.15</v>
      </c>
      <c r="D60" s="75">
        <v>32</v>
      </c>
      <c r="E60" s="76">
        <v>57.3</v>
      </c>
      <c r="F60" s="75">
        <v>2</v>
      </c>
      <c r="G60" s="76">
        <v>11</v>
      </c>
      <c r="H60" s="75">
        <v>3</v>
      </c>
      <c r="I60" s="76">
        <v>76.2</v>
      </c>
      <c r="J60" s="75">
        <v>5</v>
      </c>
      <c r="K60" s="76">
        <v>90.6</v>
      </c>
      <c r="L60" s="75">
        <v>0</v>
      </c>
      <c r="M60" s="76">
        <v>0</v>
      </c>
      <c r="N60" s="75">
        <v>0</v>
      </c>
      <c r="O60" s="76">
        <v>0</v>
      </c>
      <c r="P60" s="75">
        <v>1</v>
      </c>
      <c r="Q60" s="76">
        <v>74.8</v>
      </c>
      <c r="R60" s="75">
        <v>280</v>
      </c>
      <c r="S60" s="76">
        <v>377.05</v>
      </c>
      <c r="T60" s="32" t="s">
        <v>22</v>
      </c>
      <c r="U60" s="75">
        <v>233</v>
      </c>
      <c r="V60" s="76">
        <v>64.98</v>
      </c>
      <c r="W60" s="75">
        <v>31</v>
      </c>
      <c r="X60" s="76">
        <v>54</v>
      </c>
      <c r="Y60" s="75">
        <v>2</v>
      </c>
      <c r="Z60" s="76">
        <v>11</v>
      </c>
      <c r="AA60" s="75">
        <v>3</v>
      </c>
      <c r="AB60" s="76">
        <v>76.5</v>
      </c>
      <c r="AC60" s="75">
        <v>5</v>
      </c>
      <c r="AD60" s="76">
        <v>88.8</v>
      </c>
      <c r="AE60" s="75">
        <v>0</v>
      </c>
      <c r="AF60" s="76">
        <v>0</v>
      </c>
      <c r="AG60" s="75">
        <v>0</v>
      </c>
      <c r="AH60" s="76">
        <v>0</v>
      </c>
      <c r="AI60" s="75">
        <v>1</v>
      </c>
      <c r="AJ60" s="76">
        <v>66</v>
      </c>
      <c r="AK60" s="75">
        <v>275</v>
      </c>
      <c r="AL60" s="76">
        <v>361.28</v>
      </c>
    </row>
    <row r="61" spans="1:38" ht="13.5">
      <c r="A61" s="32" t="s">
        <v>23</v>
      </c>
      <c r="B61" s="75">
        <v>80</v>
      </c>
      <c r="C61" s="76">
        <v>21.16</v>
      </c>
      <c r="D61" s="75">
        <v>18</v>
      </c>
      <c r="E61" s="76">
        <v>30.4</v>
      </c>
      <c r="F61" s="75">
        <v>7</v>
      </c>
      <c r="G61" s="76">
        <v>56.1</v>
      </c>
      <c r="H61" s="75">
        <v>2</v>
      </c>
      <c r="I61" s="76">
        <v>57.9</v>
      </c>
      <c r="J61" s="75">
        <v>1</v>
      </c>
      <c r="K61" s="76">
        <v>9.8</v>
      </c>
      <c r="L61" s="75">
        <v>1</v>
      </c>
      <c r="M61" s="76">
        <v>6.4</v>
      </c>
      <c r="N61" s="75">
        <v>0</v>
      </c>
      <c r="O61" s="76">
        <v>0</v>
      </c>
      <c r="P61" s="75">
        <v>1</v>
      </c>
      <c r="Q61" s="76">
        <v>289.2</v>
      </c>
      <c r="R61" s="75">
        <v>110</v>
      </c>
      <c r="S61" s="76">
        <v>470.96</v>
      </c>
      <c r="T61" s="32" t="s">
        <v>23</v>
      </c>
      <c r="U61" s="75">
        <v>64</v>
      </c>
      <c r="V61" s="76">
        <v>17.32</v>
      </c>
      <c r="W61" s="75">
        <v>16</v>
      </c>
      <c r="X61" s="76">
        <v>25.76</v>
      </c>
      <c r="Y61" s="75">
        <v>7</v>
      </c>
      <c r="Z61" s="76">
        <v>37</v>
      </c>
      <c r="AA61" s="75">
        <v>2</v>
      </c>
      <c r="AB61" s="76">
        <v>56.3</v>
      </c>
      <c r="AC61" s="75">
        <v>1</v>
      </c>
      <c r="AD61" s="76">
        <v>7</v>
      </c>
      <c r="AE61" s="75">
        <v>1</v>
      </c>
      <c r="AF61" s="76">
        <v>6.4</v>
      </c>
      <c r="AG61" s="75">
        <v>0</v>
      </c>
      <c r="AH61" s="76">
        <v>0</v>
      </c>
      <c r="AI61" s="75">
        <v>1</v>
      </c>
      <c r="AJ61" s="76">
        <v>249.9</v>
      </c>
      <c r="AK61" s="75">
        <v>92</v>
      </c>
      <c r="AL61" s="76">
        <v>407.18</v>
      </c>
    </row>
    <row r="62" spans="1:38" ht="13.5">
      <c r="A62" s="32" t="s">
        <v>24</v>
      </c>
      <c r="B62" s="75">
        <v>12</v>
      </c>
      <c r="C62" s="76">
        <v>4.39</v>
      </c>
      <c r="D62" s="75">
        <v>3</v>
      </c>
      <c r="E62" s="76">
        <v>6.3</v>
      </c>
      <c r="F62" s="75">
        <v>8</v>
      </c>
      <c r="G62" s="76">
        <v>38.8</v>
      </c>
      <c r="H62" s="75">
        <v>11</v>
      </c>
      <c r="I62" s="76">
        <v>453.9</v>
      </c>
      <c r="J62" s="75">
        <v>8</v>
      </c>
      <c r="K62" s="76">
        <v>328.5</v>
      </c>
      <c r="L62" s="75">
        <v>1</v>
      </c>
      <c r="M62" s="76">
        <v>18</v>
      </c>
      <c r="N62" s="75">
        <v>0</v>
      </c>
      <c r="O62" s="76">
        <v>0</v>
      </c>
      <c r="P62" s="75">
        <v>1</v>
      </c>
      <c r="Q62" s="76">
        <v>86</v>
      </c>
      <c r="R62" s="75">
        <v>45</v>
      </c>
      <c r="S62" s="76">
        <v>955.59</v>
      </c>
      <c r="T62" s="32" t="s">
        <v>24</v>
      </c>
      <c r="U62" s="75">
        <v>12</v>
      </c>
      <c r="V62" s="76">
        <v>4.39</v>
      </c>
      <c r="W62" s="75">
        <v>3</v>
      </c>
      <c r="X62" s="76">
        <v>6.3</v>
      </c>
      <c r="Y62" s="75">
        <v>8</v>
      </c>
      <c r="Z62" s="76">
        <v>41</v>
      </c>
      <c r="AA62" s="75">
        <v>11</v>
      </c>
      <c r="AB62" s="76">
        <v>421.1</v>
      </c>
      <c r="AC62" s="75">
        <v>8</v>
      </c>
      <c r="AD62" s="76">
        <v>169.8</v>
      </c>
      <c r="AE62" s="75">
        <v>1</v>
      </c>
      <c r="AF62" s="76">
        <v>18</v>
      </c>
      <c r="AG62" s="75">
        <v>1</v>
      </c>
      <c r="AH62" s="76">
        <v>15.3</v>
      </c>
      <c r="AI62" s="75">
        <v>1</v>
      </c>
      <c r="AJ62" s="76">
        <v>62.6</v>
      </c>
      <c r="AK62" s="75">
        <v>45</v>
      </c>
      <c r="AL62" s="76">
        <v>730.99</v>
      </c>
    </row>
    <row r="63" spans="1:38" ht="13.5">
      <c r="A63" s="32" t="s">
        <v>27</v>
      </c>
      <c r="B63" s="75">
        <v>339</v>
      </c>
      <c r="C63" s="76">
        <v>84.27</v>
      </c>
      <c r="D63" s="75">
        <v>46</v>
      </c>
      <c r="E63" s="76">
        <v>84.65</v>
      </c>
      <c r="F63" s="75">
        <v>12</v>
      </c>
      <c r="G63" s="76">
        <v>89.9</v>
      </c>
      <c r="H63" s="75">
        <v>20</v>
      </c>
      <c r="I63" s="76">
        <v>519</v>
      </c>
      <c r="J63" s="75">
        <v>11</v>
      </c>
      <c r="K63" s="76">
        <v>204.4</v>
      </c>
      <c r="L63" s="75">
        <v>6</v>
      </c>
      <c r="M63" s="76">
        <v>235.9</v>
      </c>
      <c r="N63" s="75">
        <v>0</v>
      </c>
      <c r="O63" s="76">
        <v>0</v>
      </c>
      <c r="P63" s="75">
        <v>3</v>
      </c>
      <c r="Q63" s="76">
        <v>527.4</v>
      </c>
      <c r="R63" s="75">
        <v>437</v>
      </c>
      <c r="S63" s="76">
        <v>1745.52</v>
      </c>
      <c r="T63" s="32" t="s">
        <v>27</v>
      </c>
      <c r="U63" s="75">
        <v>319</v>
      </c>
      <c r="V63" s="76">
        <v>80.3</v>
      </c>
      <c r="W63" s="75">
        <v>45</v>
      </c>
      <c r="X63" s="76">
        <v>80.94</v>
      </c>
      <c r="Y63" s="75">
        <v>11</v>
      </c>
      <c r="Z63" s="76">
        <v>78.5</v>
      </c>
      <c r="AA63" s="75">
        <v>18</v>
      </c>
      <c r="AB63" s="76">
        <v>359.49</v>
      </c>
      <c r="AC63" s="75">
        <v>10</v>
      </c>
      <c r="AD63" s="76">
        <v>181.3</v>
      </c>
      <c r="AE63" s="75">
        <v>5</v>
      </c>
      <c r="AF63" s="76">
        <v>83.98</v>
      </c>
      <c r="AG63" s="75">
        <v>0</v>
      </c>
      <c r="AH63" s="76">
        <v>0</v>
      </c>
      <c r="AI63" s="75">
        <v>3</v>
      </c>
      <c r="AJ63" s="76">
        <v>185.8</v>
      </c>
      <c r="AK63" s="75">
        <v>411</v>
      </c>
      <c r="AL63" s="76">
        <v>1050.31</v>
      </c>
    </row>
    <row r="64" spans="1:38" ht="13.5">
      <c r="A64" s="32" t="s">
        <v>22</v>
      </c>
      <c r="B64" s="75">
        <v>160</v>
      </c>
      <c r="C64" s="76">
        <v>40.26</v>
      </c>
      <c r="D64" s="75">
        <v>15</v>
      </c>
      <c r="E64" s="76">
        <v>26.4</v>
      </c>
      <c r="F64" s="75">
        <v>4</v>
      </c>
      <c r="G64" s="76">
        <v>17.6</v>
      </c>
      <c r="H64" s="75">
        <v>2</v>
      </c>
      <c r="I64" s="76">
        <v>21</v>
      </c>
      <c r="J64" s="75">
        <v>1</v>
      </c>
      <c r="K64" s="76">
        <v>23.2</v>
      </c>
      <c r="L64" s="75">
        <v>0</v>
      </c>
      <c r="M64" s="76">
        <v>0</v>
      </c>
      <c r="N64" s="75">
        <v>0</v>
      </c>
      <c r="O64" s="76">
        <v>0</v>
      </c>
      <c r="P64" s="75">
        <v>0</v>
      </c>
      <c r="Q64" s="76">
        <v>0</v>
      </c>
      <c r="R64" s="75">
        <v>182</v>
      </c>
      <c r="S64" s="76">
        <v>128.46</v>
      </c>
      <c r="T64" s="32" t="s">
        <v>22</v>
      </c>
      <c r="U64" s="75">
        <v>158</v>
      </c>
      <c r="V64" s="76">
        <v>39.45</v>
      </c>
      <c r="W64" s="75">
        <v>15</v>
      </c>
      <c r="X64" s="76">
        <v>26.14</v>
      </c>
      <c r="Y64" s="75">
        <v>4</v>
      </c>
      <c r="Z64" s="76">
        <v>17.8</v>
      </c>
      <c r="AA64" s="75">
        <v>2</v>
      </c>
      <c r="AB64" s="76">
        <v>20.3</v>
      </c>
      <c r="AC64" s="75">
        <v>1</v>
      </c>
      <c r="AD64" s="76">
        <v>25.4</v>
      </c>
      <c r="AE64" s="75">
        <v>0</v>
      </c>
      <c r="AF64" s="76">
        <v>0</v>
      </c>
      <c r="AG64" s="75">
        <v>0</v>
      </c>
      <c r="AH64" s="76">
        <v>0</v>
      </c>
      <c r="AI64" s="75">
        <v>0</v>
      </c>
      <c r="AJ64" s="76">
        <v>0</v>
      </c>
      <c r="AK64" s="75">
        <v>180</v>
      </c>
      <c r="AL64" s="76">
        <v>129.09</v>
      </c>
    </row>
    <row r="65" spans="1:38" ht="13.5">
      <c r="A65" s="32" t="s">
        <v>23</v>
      </c>
      <c r="B65" s="75">
        <v>168</v>
      </c>
      <c r="C65" s="76">
        <v>40.84</v>
      </c>
      <c r="D65" s="75">
        <v>26</v>
      </c>
      <c r="E65" s="76">
        <v>49.85</v>
      </c>
      <c r="F65" s="75">
        <v>3</v>
      </c>
      <c r="G65" s="76">
        <v>16.8</v>
      </c>
      <c r="H65" s="75">
        <v>3</v>
      </c>
      <c r="I65" s="76">
        <v>54.7</v>
      </c>
      <c r="J65" s="75">
        <v>2</v>
      </c>
      <c r="K65" s="76">
        <v>20</v>
      </c>
      <c r="L65" s="75">
        <v>0</v>
      </c>
      <c r="M65" s="76">
        <v>0</v>
      </c>
      <c r="N65" s="75">
        <v>0</v>
      </c>
      <c r="O65" s="76">
        <v>0</v>
      </c>
      <c r="P65" s="75">
        <v>0</v>
      </c>
      <c r="Q65" s="76">
        <v>0</v>
      </c>
      <c r="R65" s="75">
        <v>202</v>
      </c>
      <c r="S65" s="76">
        <v>182.19</v>
      </c>
      <c r="T65" s="32" t="s">
        <v>23</v>
      </c>
      <c r="U65" s="75">
        <v>150</v>
      </c>
      <c r="V65" s="76">
        <v>37.3</v>
      </c>
      <c r="W65" s="75">
        <v>25</v>
      </c>
      <c r="X65" s="76">
        <v>46.36</v>
      </c>
      <c r="Y65" s="75">
        <v>2</v>
      </c>
      <c r="Z65" s="76">
        <v>5.4</v>
      </c>
      <c r="AA65" s="75">
        <v>3</v>
      </c>
      <c r="AB65" s="76">
        <v>50.5</v>
      </c>
      <c r="AC65" s="75">
        <v>2</v>
      </c>
      <c r="AD65" s="76">
        <v>20</v>
      </c>
      <c r="AE65" s="75">
        <v>0</v>
      </c>
      <c r="AF65" s="76">
        <v>0</v>
      </c>
      <c r="AG65" s="75">
        <v>0</v>
      </c>
      <c r="AH65" s="76">
        <v>0</v>
      </c>
      <c r="AI65" s="75">
        <v>0</v>
      </c>
      <c r="AJ65" s="76">
        <v>0</v>
      </c>
      <c r="AK65" s="75">
        <v>182</v>
      </c>
      <c r="AL65" s="76">
        <v>159.56</v>
      </c>
    </row>
    <row r="66" spans="1:38" ht="13.5">
      <c r="A66" s="32" t="s">
        <v>24</v>
      </c>
      <c r="B66" s="75">
        <v>11</v>
      </c>
      <c r="C66" s="76">
        <v>3.17</v>
      </c>
      <c r="D66" s="75">
        <v>5</v>
      </c>
      <c r="E66" s="76">
        <v>8.4</v>
      </c>
      <c r="F66" s="75">
        <v>5</v>
      </c>
      <c r="G66" s="76">
        <v>55.5</v>
      </c>
      <c r="H66" s="75">
        <v>15</v>
      </c>
      <c r="I66" s="76">
        <v>443.3</v>
      </c>
      <c r="J66" s="75">
        <v>8</v>
      </c>
      <c r="K66" s="76">
        <v>161.2</v>
      </c>
      <c r="L66" s="75">
        <v>6</v>
      </c>
      <c r="M66" s="76">
        <v>235.9</v>
      </c>
      <c r="N66" s="75">
        <v>0</v>
      </c>
      <c r="O66" s="76">
        <v>0</v>
      </c>
      <c r="P66" s="75">
        <v>3</v>
      </c>
      <c r="Q66" s="76">
        <v>527.4</v>
      </c>
      <c r="R66" s="75">
        <v>53</v>
      </c>
      <c r="S66" s="76">
        <v>1434.87</v>
      </c>
      <c r="T66" s="32" t="s">
        <v>24</v>
      </c>
      <c r="U66" s="75">
        <v>11</v>
      </c>
      <c r="V66" s="76">
        <v>3.55</v>
      </c>
      <c r="W66" s="75">
        <v>5</v>
      </c>
      <c r="X66" s="76">
        <v>8.44</v>
      </c>
      <c r="Y66" s="75">
        <v>5</v>
      </c>
      <c r="Z66" s="76">
        <v>55.3</v>
      </c>
      <c r="AA66" s="75">
        <v>13</v>
      </c>
      <c r="AB66" s="76">
        <v>288.69</v>
      </c>
      <c r="AC66" s="75">
        <v>7</v>
      </c>
      <c r="AD66" s="76">
        <v>135.9</v>
      </c>
      <c r="AE66" s="75">
        <v>5</v>
      </c>
      <c r="AF66" s="76">
        <v>83.98</v>
      </c>
      <c r="AG66" s="75">
        <v>0</v>
      </c>
      <c r="AH66" s="76">
        <v>0</v>
      </c>
      <c r="AI66" s="75">
        <v>3</v>
      </c>
      <c r="AJ66" s="76">
        <v>185.8</v>
      </c>
      <c r="AK66" s="75">
        <v>49</v>
      </c>
      <c r="AL66" s="76">
        <v>761.66</v>
      </c>
    </row>
    <row r="67" spans="1:38" ht="13.5">
      <c r="A67" s="32" t="s">
        <v>28</v>
      </c>
      <c r="B67" s="75">
        <v>756</v>
      </c>
      <c r="C67" s="76">
        <v>201.49</v>
      </c>
      <c r="D67" s="75">
        <v>99</v>
      </c>
      <c r="E67" s="76">
        <v>198.8</v>
      </c>
      <c r="F67" s="75">
        <v>33</v>
      </c>
      <c r="G67" s="76">
        <v>201.7</v>
      </c>
      <c r="H67" s="75">
        <v>18</v>
      </c>
      <c r="I67" s="76">
        <v>440.9</v>
      </c>
      <c r="J67" s="75">
        <v>9</v>
      </c>
      <c r="K67" s="76">
        <v>174</v>
      </c>
      <c r="L67" s="75">
        <v>7</v>
      </c>
      <c r="M67" s="76">
        <v>277.7</v>
      </c>
      <c r="N67" s="75">
        <v>9</v>
      </c>
      <c r="O67" s="76">
        <v>26.1</v>
      </c>
      <c r="P67" s="75">
        <v>4</v>
      </c>
      <c r="Q67" s="76">
        <v>1447</v>
      </c>
      <c r="R67" s="75">
        <v>935</v>
      </c>
      <c r="S67" s="76">
        <v>2967.69</v>
      </c>
      <c r="T67" s="32" t="s">
        <v>28</v>
      </c>
      <c r="U67" s="75">
        <v>729</v>
      </c>
      <c r="V67" s="76">
        <v>193.43</v>
      </c>
      <c r="W67" s="75">
        <v>91</v>
      </c>
      <c r="X67" s="76">
        <v>183.8</v>
      </c>
      <c r="Y67" s="75">
        <v>30</v>
      </c>
      <c r="Z67" s="76">
        <v>190</v>
      </c>
      <c r="AA67" s="75">
        <v>16</v>
      </c>
      <c r="AB67" s="76">
        <v>298.16999999999996</v>
      </c>
      <c r="AC67" s="75">
        <v>9</v>
      </c>
      <c r="AD67" s="76">
        <v>137.1</v>
      </c>
      <c r="AE67" s="75">
        <v>7</v>
      </c>
      <c r="AF67" s="76">
        <v>190.2</v>
      </c>
      <c r="AG67" s="75">
        <v>9</v>
      </c>
      <c r="AH67" s="76">
        <v>26.1</v>
      </c>
      <c r="AI67" s="75">
        <v>4</v>
      </c>
      <c r="AJ67" s="76">
        <v>524.9</v>
      </c>
      <c r="AK67" s="75">
        <v>895</v>
      </c>
      <c r="AL67" s="76">
        <v>1743.73</v>
      </c>
    </row>
    <row r="68" spans="1:38" ht="13.5">
      <c r="A68" s="32" t="s">
        <v>22</v>
      </c>
      <c r="B68" s="75">
        <v>541</v>
      </c>
      <c r="C68" s="76">
        <v>136.43</v>
      </c>
      <c r="D68" s="75">
        <v>55</v>
      </c>
      <c r="E68" s="76">
        <v>109.6</v>
      </c>
      <c r="F68" s="75">
        <v>12</v>
      </c>
      <c r="G68" s="76">
        <v>78.5</v>
      </c>
      <c r="H68" s="75">
        <v>5</v>
      </c>
      <c r="I68" s="76">
        <v>72.3</v>
      </c>
      <c r="J68" s="75">
        <v>1</v>
      </c>
      <c r="K68" s="76">
        <v>32.9</v>
      </c>
      <c r="L68" s="75">
        <v>4</v>
      </c>
      <c r="M68" s="76">
        <v>93.1</v>
      </c>
      <c r="N68" s="75">
        <v>7</v>
      </c>
      <c r="O68" s="76">
        <v>12.4</v>
      </c>
      <c r="P68" s="75">
        <v>0</v>
      </c>
      <c r="Q68" s="76">
        <v>0</v>
      </c>
      <c r="R68" s="75">
        <v>625</v>
      </c>
      <c r="S68" s="76">
        <v>535.23</v>
      </c>
      <c r="T68" s="32" t="s">
        <v>22</v>
      </c>
      <c r="U68" s="75">
        <v>528</v>
      </c>
      <c r="V68" s="76">
        <v>133.51</v>
      </c>
      <c r="W68" s="75">
        <v>54</v>
      </c>
      <c r="X68" s="76">
        <v>106.9</v>
      </c>
      <c r="Y68" s="75">
        <v>11</v>
      </c>
      <c r="Z68" s="76">
        <v>75.5</v>
      </c>
      <c r="AA68" s="75">
        <v>5</v>
      </c>
      <c r="AB68" s="76">
        <v>70.3</v>
      </c>
      <c r="AC68" s="75">
        <v>1</v>
      </c>
      <c r="AD68" s="76">
        <v>21</v>
      </c>
      <c r="AE68" s="75">
        <v>4</v>
      </c>
      <c r="AF68" s="76">
        <v>75.7</v>
      </c>
      <c r="AG68" s="75">
        <v>7</v>
      </c>
      <c r="AH68" s="76">
        <v>12.4</v>
      </c>
      <c r="AI68" s="75">
        <v>0</v>
      </c>
      <c r="AJ68" s="76">
        <v>0</v>
      </c>
      <c r="AK68" s="75">
        <v>610</v>
      </c>
      <c r="AL68" s="76">
        <v>495.31</v>
      </c>
    </row>
    <row r="69" spans="1:38" ht="13.5">
      <c r="A69" s="32" t="s">
        <v>23</v>
      </c>
      <c r="B69" s="75">
        <v>184</v>
      </c>
      <c r="C69" s="76">
        <v>51.38</v>
      </c>
      <c r="D69" s="75">
        <v>37</v>
      </c>
      <c r="E69" s="76">
        <v>73.4</v>
      </c>
      <c r="F69" s="75">
        <v>7</v>
      </c>
      <c r="G69" s="76">
        <v>44.8</v>
      </c>
      <c r="H69" s="75">
        <v>8</v>
      </c>
      <c r="I69" s="76">
        <v>197.6</v>
      </c>
      <c r="J69" s="75">
        <v>3</v>
      </c>
      <c r="K69" s="76">
        <v>84.7</v>
      </c>
      <c r="L69" s="75">
        <v>0</v>
      </c>
      <c r="M69" s="76">
        <v>0</v>
      </c>
      <c r="N69" s="75">
        <v>2</v>
      </c>
      <c r="O69" s="76">
        <v>13.7</v>
      </c>
      <c r="P69" s="75">
        <v>0</v>
      </c>
      <c r="Q69" s="76">
        <v>0</v>
      </c>
      <c r="R69" s="75">
        <v>241</v>
      </c>
      <c r="S69" s="76">
        <v>465.58</v>
      </c>
      <c r="T69" s="32" t="s">
        <v>23</v>
      </c>
      <c r="U69" s="75">
        <v>175</v>
      </c>
      <c r="V69" s="76">
        <v>47.43</v>
      </c>
      <c r="W69" s="75">
        <v>29</v>
      </c>
      <c r="X69" s="76">
        <v>58.9</v>
      </c>
      <c r="Y69" s="75">
        <v>6</v>
      </c>
      <c r="Z69" s="76">
        <v>41.9</v>
      </c>
      <c r="AA69" s="75">
        <v>6</v>
      </c>
      <c r="AB69" s="76">
        <v>95.77</v>
      </c>
      <c r="AC69" s="75">
        <v>3</v>
      </c>
      <c r="AD69" s="76">
        <v>59.7</v>
      </c>
      <c r="AE69" s="75">
        <v>0</v>
      </c>
      <c r="AF69" s="76">
        <v>0</v>
      </c>
      <c r="AG69" s="75">
        <v>2</v>
      </c>
      <c r="AH69" s="76">
        <v>13.7</v>
      </c>
      <c r="AI69" s="75">
        <v>0</v>
      </c>
      <c r="AJ69" s="76">
        <v>0</v>
      </c>
      <c r="AK69" s="75">
        <v>221</v>
      </c>
      <c r="AL69" s="76">
        <v>317.43</v>
      </c>
    </row>
    <row r="70" spans="1:38" ht="13.5">
      <c r="A70" s="32" t="s">
        <v>24</v>
      </c>
      <c r="B70" s="75">
        <v>31</v>
      </c>
      <c r="C70" s="76">
        <v>13.68</v>
      </c>
      <c r="D70" s="75">
        <v>7</v>
      </c>
      <c r="E70" s="76">
        <v>15.8</v>
      </c>
      <c r="F70" s="75">
        <v>14</v>
      </c>
      <c r="G70" s="76">
        <v>78.4</v>
      </c>
      <c r="H70" s="75">
        <v>5</v>
      </c>
      <c r="I70" s="76">
        <v>171</v>
      </c>
      <c r="J70" s="75">
        <v>5</v>
      </c>
      <c r="K70" s="76">
        <v>56.4</v>
      </c>
      <c r="L70" s="75">
        <v>3</v>
      </c>
      <c r="M70" s="76">
        <v>184.6</v>
      </c>
      <c r="N70" s="75">
        <v>0</v>
      </c>
      <c r="O70" s="76">
        <v>0</v>
      </c>
      <c r="P70" s="75">
        <v>4</v>
      </c>
      <c r="Q70" s="76">
        <v>1447</v>
      </c>
      <c r="R70" s="75">
        <v>69</v>
      </c>
      <c r="S70" s="76">
        <v>1966.88</v>
      </c>
      <c r="T70" s="32" t="s">
        <v>24</v>
      </c>
      <c r="U70" s="75">
        <v>26</v>
      </c>
      <c r="V70" s="76">
        <v>12.49</v>
      </c>
      <c r="W70" s="75">
        <v>8</v>
      </c>
      <c r="X70" s="76">
        <v>18</v>
      </c>
      <c r="Y70" s="75">
        <v>13</v>
      </c>
      <c r="Z70" s="76">
        <v>72.6</v>
      </c>
      <c r="AA70" s="75">
        <v>5</v>
      </c>
      <c r="AB70" s="76">
        <v>132.1</v>
      </c>
      <c r="AC70" s="75">
        <v>5</v>
      </c>
      <c r="AD70" s="76">
        <v>56.4</v>
      </c>
      <c r="AE70" s="75">
        <v>3</v>
      </c>
      <c r="AF70" s="76">
        <v>114.5</v>
      </c>
      <c r="AG70" s="75">
        <v>0</v>
      </c>
      <c r="AH70" s="76">
        <v>0</v>
      </c>
      <c r="AI70" s="75">
        <v>4</v>
      </c>
      <c r="AJ70" s="76">
        <v>524.9</v>
      </c>
      <c r="AK70" s="75">
        <v>64</v>
      </c>
      <c r="AL70" s="76">
        <v>930.99</v>
      </c>
    </row>
    <row r="71" spans="1:38" ht="13.5">
      <c r="A71" s="32" t="s">
        <v>29</v>
      </c>
      <c r="B71" s="75">
        <v>435</v>
      </c>
      <c r="C71" s="76">
        <v>107.64</v>
      </c>
      <c r="D71" s="75">
        <v>36</v>
      </c>
      <c r="E71" s="76">
        <v>76.3</v>
      </c>
      <c r="F71" s="75">
        <v>27</v>
      </c>
      <c r="G71" s="76">
        <v>168.7</v>
      </c>
      <c r="H71" s="75">
        <v>25</v>
      </c>
      <c r="I71" s="76">
        <v>1017.8</v>
      </c>
      <c r="J71" s="75">
        <v>6</v>
      </c>
      <c r="K71" s="76">
        <v>215</v>
      </c>
      <c r="L71" s="75">
        <v>3</v>
      </c>
      <c r="M71" s="76">
        <v>234.9</v>
      </c>
      <c r="N71" s="75">
        <v>2</v>
      </c>
      <c r="O71" s="76">
        <v>39.7</v>
      </c>
      <c r="P71" s="75">
        <v>3</v>
      </c>
      <c r="Q71" s="76">
        <v>954.5</v>
      </c>
      <c r="R71" s="75">
        <v>537</v>
      </c>
      <c r="S71" s="76">
        <v>2814.54</v>
      </c>
      <c r="T71" s="32" t="s">
        <v>29</v>
      </c>
      <c r="U71" s="75">
        <v>352</v>
      </c>
      <c r="V71" s="76">
        <v>80.08</v>
      </c>
      <c r="W71" s="75">
        <v>22</v>
      </c>
      <c r="X71" s="76">
        <v>46.1</v>
      </c>
      <c r="Y71" s="75">
        <v>25</v>
      </c>
      <c r="Z71" s="76">
        <v>137.5</v>
      </c>
      <c r="AA71" s="75">
        <v>24</v>
      </c>
      <c r="AB71" s="76">
        <v>562.4</v>
      </c>
      <c r="AC71" s="75">
        <v>6</v>
      </c>
      <c r="AD71" s="76">
        <v>114.9</v>
      </c>
      <c r="AE71" s="75">
        <v>0</v>
      </c>
      <c r="AF71" s="76">
        <v>0</v>
      </c>
      <c r="AG71" s="75">
        <v>2</v>
      </c>
      <c r="AH71" s="76">
        <v>2.8</v>
      </c>
      <c r="AI71" s="75">
        <v>3</v>
      </c>
      <c r="AJ71" s="76">
        <v>289.9</v>
      </c>
      <c r="AK71" s="75">
        <v>434</v>
      </c>
      <c r="AL71" s="76">
        <v>1233.68</v>
      </c>
    </row>
    <row r="72" spans="1:38" ht="13.5">
      <c r="A72" s="32" t="s">
        <v>22</v>
      </c>
      <c r="B72" s="75">
        <v>285</v>
      </c>
      <c r="C72" s="76">
        <v>66.78</v>
      </c>
      <c r="D72" s="75">
        <v>17</v>
      </c>
      <c r="E72" s="76">
        <v>30.4</v>
      </c>
      <c r="F72" s="75">
        <v>6</v>
      </c>
      <c r="G72" s="76">
        <v>23.6</v>
      </c>
      <c r="H72" s="75">
        <v>3</v>
      </c>
      <c r="I72" s="76">
        <v>48.3</v>
      </c>
      <c r="J72" s="75">
        <v>1</v>
      </c>
      <c r="K72" s="76">
        <v>26.7</v>
      </c>
      <c r="L72" s="75">
        <v>0</v>
      </c>
      <c r="M72" s="76">
        <v>0</v>
      </c>
      <c r="N72" s="75">
        <v>1</v>
      </c>
      <c r="O72" s="76">
        <v>39.2</v>
      </c>
      <c r="P72" s="75">
        <v>0</v>
      </c>
      <c r="Q72" s="76">
        <v>0</v>
      </c>
      <c r="R72" s="75">
        <v>313</v>
      </c>
      <c r="S72" s="76">
        <v>234.98</v>
      </c>
      <c r="T72" s="32" t="s">
        <v>22</v>
      </c>
      <c r="U72" s="75">
        <v>212</v>
      </c>
      <c r="V72" s="76">
        <v>45.7</v>
      </c>
      <c r="W72" s="75">
        <v>7</v>
      </c>
      <c r="X72" s="76">
        <v>14.1</v>
      </c>
      <c r="Y72" s="75">
        <v>5</v>
      </c>
      <c r="Z72" s="76">
        <v>17.4</v>
      </c>
      <c r="AA72" s="75">
        <v>3</v>
      </c>
      <c r="AB72" s="76">
        <v>42.1</v>
      </c>
      <c r="AC72" s="75">
        <v>1</v>
      </c>
      <c r="AD72" s="76">
        <v>21.7</v>
      </c>
      <c r="AE72" s="75">
        <v>0</v>
      </c>
      <c r="AF72" s="76">
        <v>0</v>
      </c>
      <c r="AG72" s="75">
        <v>0</v>
      </c>
      <c r="AH72" s="76">
        <v>0</v>
      </c>
      <c r="AI72" s="75">
        <v>0</v>
      </c>
      <c r="AJ72" s="76">
        <v>0</v>
      </c>
      <c r="AK72" s="75">
        <v>228</v>
      </c>
      <c r="AL72" s="76">
        <v>141</v>
      </c>
    </row>
    <row r="73" spans="1:38" ht="13.5">
      <c r="A73" s="32" t="s">
        <v>23</v>
      </c>
      <c r="B73" s="75">
        <v>105</v>
      </c>
      <c r="C73" s="76">
        <v>27.58</v>
      </c>
      <c r="D73" s="75">
        <v>15</v>
      </c>
      <c r="E73" s="76">
        <v>36.3</v>
      </c>
      <c r="F73" s="75">
        <v>8</v>
      </c>
      <c r="G73" s="76">
        <v>51.9</v>
      </c>
      <c r="H73" s="75">
        <v>4</v>
      </c>
      <c r="I73" s="76">
        <v>105.1</v>
      </c>
      <c r="J73" s="75">
        <v>1</v>
      </c>
      <c r="K73" s="76">
        <v>7.3</v>
      </c>
      <c r="L73" s="75">
        <v>0</v>
      </c>
      <c r="M73" s="76">
        <v>0</v>
      </c>
      <c r="N73" s="75">
        <v>1</v>
      </c>
      <c r="O73" s="76">
        <v>0.5</v>
      </c>
      <c r="P73" s="75">
        <v>0</v>
      </c>
      <c r="Q73" s="76">
        <v>0</v>
      </c>
      <c r="R73" s="75">
        <v>134</v>
      </c>
      <c r="S73" s="76">
        <v>228.68</v>
      </c>
      <c r="T73" s="32" t="s">
        <v>23</v>
      </c>
      <c r="U73" s="75">
        <v>97</v>
      </c>
      <c r="V73" s="76">
        <v>22.18</v>
      </c>
      <c r="W73" s="75">
        <v>11</v>
      </c>
      <c r="X73" s="76">
        <v>23.6</v>
      </c>
      <c r="Y73" s="75">
        <v>8</v>
      </c>
      <c r="Z73" s="76">
        <v>46</v>
      </c>
      <c r="AA73" s="75">
        <v>4</v>
      </c>
      <c r="AB73" s="76">
        <v>62.8</v>
      </c>
      <c r="AC73" s="75">
        <v>1</v>
      </c>
      <c r="AD73" s="76">
        <v>7.3</v>
      </c>
      <c r="AE73" s="75">
        <v>0</v>
      </c>
      <c r="AF73" s="76">
        <v>0</v>
      </c>
      <c r="AG73" s="75">
        <v>2</v>
      </c>
      <c r="AH73" s="76">
        <v>2.8</v>
      </c>
      <c r="AI73" s="75">
        <v>0</v>
      </c>
      <c r="AJ73" s="76">
        <v>0</v>
      </c>
      <c r="AK73" s="75">
        <v>123</v>
      </c>
      <c r="AL73" s="76">
        <v>164.68</v>
      </c>
    </row>
    <row r="74" spans="1:38" ht="13.5">
      <c r="A74" s="32" t="s">
        <v>24</v>
      </c>
      <c r="B74" s="75">
        <v>45</v>
      </c>
      <c r="C74" s="76">
        <v>13.28</v>
      </c>
      <c r="D74" s="75">
        <v>4</v>
      </c>
      <c r="E74" s="76">
        <v>9.6</v>
      </c>
      <c r="F74" s="75">
        <v>13</v>
      </c>
      <c r="G74" s="76">
        <v>93.2</v>
      </c>
      <c r="H74" s="75">
        <v>18</v>
      </c>
      <c r="I74" s="76">
        <v>864.4</v>
      </c>
      <c r="J74" s="75">
        <v>4</v>
      </c>
      <c r="K74" s="76">
        <v>181</v>
      </c>
      <c r="L74" s="75">
        <v>3</v>
      </c>
      <c r="M74" s="76">
        <v>234.9</v>
      </c>
      <c r="N74" s="75">
        <v>0</v>
      </c>
      <c r="O74" s="76">
        <v>0</v>
      </c>
      <c r="P74" s="75">
        <v>3</v>
      </c>
      <c r="Q74" s="76">
        <v>954.5</v>
      </c>
      <c r="R74" s="75">
        <v>90</v>
      </c>
      <c r="S74" s="76">
        <v>2350.88</v>
      </c>
      <c r="T74" s="32" t="s">
        <v>24</v>
      </c>
      <c r="U74" s="75">
        <v>43</v>
      </c>
      <c r="V74" s="76">
        <v>12.2</v>
      </c>
      <c r="W74" s="75">
        <v>4</v>
      </c>
      <c r="X74" s="76">
        <v>8.4</v>
      </c>
      <c r="Y74" s="75">
        <v>12</v>
      </c>
      <c r="Z74" s="76">
        <v>74.1</v>
      </c>
      <c r="AA74" s="75">
        <v>17</v>
      </c>
      <c r="AB74" s="76">
        <v>457.5</v>
      </c>
      <c r="AC74" s="75">
        <v>4</v>
      </c>
      <c r="AD74" s="76">
        <v>85.9</v>
      </c>
      <c r="AE74" s="75">
        <v>0</v>
      </c>
      <c r="AF74" s="76">
        <v>0</v>
      </c>
      <c r="AG74" s="75">
        <v>0</v>
      </c>
      <c r="AH74" s="76">
        <v>0</v>
      </c>
      <c r="AI74" s="75">
        <v>3</v>
      </c>
      <c r="AJ74" s="76">
        <v>289.9</v>
      </c>
      <c r="AK74" s="75">
        <v>83</v>
      </c>
      <c r="AL74" s="76">
        <v>928</v>
      </c>
    </row>
    <row r="75" spans="1:38" ht="13.5">
      <c r="A75" s="32" t="s">
        <v>30</v>
      </c>
      <c r="B75" s="75">
        <v>472</v>
      </c>
      <c r="C75" s="76">
        <v>113.91</v>
      </c>
      <c r="D75" s="75">
        <v>56</v>
      </c>
      <c r="E75" s="76">
        <v>84.19999999999999</v>
      </c>
      <c r="F75" s="75">
        <v>14</v>
      </c>
      <c r="G75" s="76">
        <v>90.4</v>
      </c>
      <c r="H75" s="75">
        <v>21</v>
      </c>
      <c r="I75" s="76">
        <v>695.5999999999999</v>
      </c>
      <c r="J75" s="75">
        <v>10</v>
      </c>
      <c r="K75" s="76">
        <v>116.6</v>
      </c>
      <c r="L75" s="75">
        <v>4</v>
      </c>
      <c r="M75" s="76">
        <v>336.6</v>
      </c>
      <c r="N75" s="75">
        <v>4</v>
      </c>
      <c r="O75" s="76">
        <v>39.5</v>
      </c>
      <c r="P75" s="75">
        <v>3</v>
      </c>
      <c r="Q75" s="76">
        <v>264.1</v>
      </c>
      <c r="R75" s="75">
        <v>584</v>
      </c>
      <c r="S75" s="76">
        <v>1740.9099999999999</v>
      </c>
      <c r="T75" s="32" t="s">
        <v>30</v>
      </c>
      <c r="U75" s="75">
        <v>448</v>
      </c>
      <c r="V75" s="76">
        <v>107.19</v>
      </c>
      <c r="W75" s="75">
        <v>51</v>
      </c>
      <c r="X75" s="76">
        <v>77.96000000000001</v>
      </c>
      <c r="Y75" s="75">
        <v>13</v>
      </c>
      <c r="Z75" s="76">
        <v>80.9</v>
      </c>
      <c r="AA75" s="75">
        <v>21</v>
      </c>
      <c r="AB75" s="76">
        <v>436.29999999999995</v>
      </c>
      <c r="AC75" s="75">
        <v>9</v>
      </c>
      <c r="AD75" s="76">
        <v>114.6</v>
      </c>
      <c r="AE75" s="75">
        <v>4</v>
      </c>
      <c r="AF75" s="76">
        <v>77.1</v>
      </c>
      <c r="AG75" s="75">
        <v>2</v>
      </c>
      <c r="AH75" s="76">
        <v>20.4</v>
      </c>
      <c r="AI75" s="75">
        <v>3</v>
      </c>
      <c r="AJ75" s="76">
        <v>237.2</v>
      </c>
      <c r="AK75" s="75">
        <v>551</v>
      </c>
      <c r="AL75" s="76">
        <v>1151.61</v>
      </c>
    </row>
    <row r="76" spans="1:38" ht="13.5">
      <c r="A76" s="32" t="s">
        <v>22</v>
      </c>
      <c r="B76" s="75">
        <v>338</v>
      </c>
      <c r="C76" s="76">
        <v>79.85</v>
      </c>
      <c r="D76" s="75">
        <v>29</v>
      </c>
      <c r="E76" s="76">
        <v>41.8</v>
      </c>
      <c r="F76" s="75">
        <v>8</v>
      </c>
      <c r="G76" s="76">
        <v>51.1</v>
      </c>
      <c r="H76" s="75">
        <v>5</v>
      </c>
      <c r="I76" s="76">
        <v>86</v>
      </c>
      <c r="J76" s="75">
        <v>2</v>
      </c>
      <c r="K76" s="76">
        <v>24.6</v>
      </c>
      <c r="L76" s="75">
        <v>0</v>
      </c>
      <c r="M76" s="76">
        <v>0</v>
      </c>
      <c r="N76" s="75">
        <v>0</v>
      </c>
      <c r="O76" s="76">
        <v>0</v>
      </c>
      <c r="P76" s="75">
        <v>0</v>
      </c>
      <c r="Q76" s="76">
        <v>0</v>
      </c>
      <c r="R76" s="75">
        <v>382</v>
      </c>
      <c r="S76" s="76">
        <v>283.35</v>
      </c>
      <c r="T76" s="32" t="s">
        <v>22</v>
      </c>
      <c r="U76" s="75">
        <v>329</v>
      </c>
      <c r="V76" s="76">
        <v>77.73</v>
      </c>
      <c r="W76" s="75">
        <v>29</v>
      </c>
      <c r="X76" s="76">
        <v>40.1</v>
      </c>
      <c r="Y76" s="75">
        <v>8</v>
      </c>
      <c r="Z76" s="76">
        <v>47.6</v>
      </c>
      <c r="AA76" s="75">
        <v>5</v>
      </c>
      <c r="AB76" s="76">
        <v>85.2</v>
      </c>
      <c r="AC76" s="75">
        <v>1</v>
      </c>
      <c r="AD76" s="76">
        <v>22.6</v>
      </c>
      <c r="AE76" s="75">
        <v>0</v>
      </c>
      <c r="AF76" s="76">
        <v>0</v>
      </c>
      <c r="AG76" s="75">
        <v>0</v>
      </c>
      <c r="AH76" s="76">
        <v>0</v>
      </c>
      <c r="AI76" s="75">
        <v>0</v>
      </c>
      <c r="AJ76" s="76">
        <v>0</v>
      </c>
      <c r="AK76" s="75">
        <v>372</v>
      </c>
      <c r="AL76" s="76">
        <v>273.23</v>
      </c>
    </row>
    <row r="77" spans="1:38" ht="13.5">
      <c r="A77" s="32" t="s">
        <v>23</v>
      </c>
      <c r="B77" s="75">
        <v>131</v>
      </c>
      <c r="C77" s="76">
        <v>33.4</v>
      </c>
      <c r="D77" s="75">
        <v>19</v>
      </c>
      <c r="E77" s="76">
        <v>24.5</v>
      </c>
      <c r="F77" s="75">
        <v>3</v>
      </c>
      <c r="G77" s="76">
        <v>12.2</v>
      </c>
      <c r="H77" s="75">
        <v>6</v>
      </c>
      <c r="I77" s="76">
        <v>278.4</v>
      </c>
      <c r="J77" s="75">
        <v>0</v>
      </c>
      <c r="K77" s="76">
        <v>0</v>
      </c>
      <c r="L77" s="75">
        <v>0</v>
      </c>
      <c r="M77" s="76">
        <v>0</v>
      </c>
      <c r="N77" s="75">
        <v>0</v>
      </c>
      <c r="O77" s="76">
        <v>0</v>
      </c>
      <c r="P77" s="75">
        <v>0</v>
      </c>
      <c r="Q77" s="76">
        <v>0</v>
      </c>
      <c r="R77" s="75">
        <v>159</v>
      </c>
      <c r="S77" s="76">
        <v>348.5</v>
      </c>
      <c r="T77" s="32" t="s">
        <v>23</v>
      </c>
      <c r="U77" s="75">
        <v>116</v>
      </c>
      <c r="V77" s="76">
        <v>28.8</v>
      </c>
      <c r="W77" s="75">
        <v>14</v>
      </c>
      <c r="X77" s="76">
        <v>20</v>
      </c>
      <c r="Y77" s="75">
        <v>2</v>
      </c>
      <c r="Z77" s="76">
        <v>8.4</v>
      </c>
      <c r="AA77" s="75">
        <v>6</v>
      </c>
      <c r="AB77" s="76">
        <v>136.5</v>
      </c>
      <c r="AC77" s="75">
        <v>0</v>
      </c>
      <c r="AD77" s="76">
        <v>0</v>
      </c>
      <c r="AE77" s="75">
        <v>0</v>
      </c>
      <c r="AF77" s="76">
        <v>0</v>
      </c>
      <c r="AG77" s="75">
        <v>0</v>
      </c>
      <c r="AH77" s="76">
        <v>0</v>
      </c>
      <c r="AI77" s="75">
        <v>0</v>
      </c>
      <c r="AJ77" s="76">
        <v>0</v>
      </c>
      <c r="AK77" s="75">
        <v>138</v>
      </c>
      <c r="AL77" s="76">
        <v>193.7</v>
      </c>
    </row>
    <row r="78" spans="1:38" ht="13.5">
      <c r="A78" s="32" t="s">
        <v>24</v>
      </c>
      <c r="B78" s="75">
        <v>3</v>
      </c>
      <c r="C78" s="76">
        <v>0.66</v>
      </c>
      <c r="D78" s="75">
        <v>8</v>
      </c>
      <c r="E78" s="76">
        <v>17.9</v>
      </c>
      <c r="F78" s="75">
        <v>3</v>
      </c>
      <c r="G78" s="76">
        <v>27.1</v>
      </c>
      <c r="H78" s="75">
        <v>10</v>
      </c>
      <c r="I78" s="76">
        <v>331.2</v>
      </c>
      <c r="J78" s="75">
        <v>8</v>
      </c>
      <c r="K78" s="76">
        <v>92</v>
      </c>
      <c r="L78" s="75">
        <v>4</v>
      </c>
      <c r="M78" s="76">
        <v>336.6</v>
      </c>
      <c r="N78" s="75">
        <v>4</v>
      </c>
      <c r="O78" s="76">
        <v>39.5</v>
      </c>
      <c r="P78" s="75">
        <v>3</v>
      </c>
      <c r="Q78" s="76">
        <v>264.1</v>
      </c>
      <c r="R78" s="75">
        <v>43</v>
      </c>
      <c r="S78" s="76">
        <v>1109.06</v>
      </c>
      <c r="T78" s="32" t="s">
        <v>24</v>
      </c>
      <c r="U78" s="75">
        <v>3</v>
      </c>
      <c r="V78" s="76">
        <v>0.66</v>
      </c>
      <c r="W78" s="75">
        <v>8</v>
      </c>
      <c r="X78" s="76">
        <v>17.86</v>
      </c>
      <c r="Y78" s="75">
        <v>3</v>
      </c>
      <c r="Z78" s="76">
        <v>24.9</v>
      </c>
      <c r="AA78" s="75">
        <v>10</v>
      </c>
      <c r="AB78" s="76">
        <v>214.6</v>
      </c>
      <c r="AC78" s="75">
        <v>8</v>
      </c>
      <c r="AD78" s="76">
        <v>92</v>
      </c>
      <c r="AE78" s="75">
        <v>4</v>
      </c>
      <c r="AF78" s="76">
        <v>77.1</v>
      </c>
      <c r="AG78" s="75">
        <v>2</v>
      </c>
      <c r="AH78" s="76">
        <v>20.4</v>
      </c>
      <c r="AI78" s="75">
        <v>3</v>
      </c>
      <c r="AJ78" s="76">
        <v>237.2</v>
      </c>
      <c r="AK78" s="75">
        <v>41</v>
      </c>
      <c r="AL78" s="76">
        <v>684.68</v>
      </c>
    </row>
    <row r="79" spans="1:38" ht="13.5">
      <c r="A79" s="32" t="s">
        <v>31</v>
      </c>
      <c r="B79" s="75">
        <v>426</v>
      </c>
      <c r="C79" s="76">
        <v>121.43</v>
      </c>
      <c r="D79" s="75">
        <v>58</v>
      </c>
      <c r="E79" s="76">
        <v>137.5</v>
      </c>
      <c r="F79" s="75">
        <v>12</v>
      </c>
      <c r="G79" s="76">
        <v>67.19999999999999</v>
      </c>
      <c r="H79" s="75">
        <v>27</v>
      </c>
      <c r="I79" s="76">
        <v>728.2</v>
      </c>
      <c r="J79" s="75">
        <v>10</v>
      </c>
      <c r="K79" s="76">
        <v>196.9</v>
      </c>
      <c r="L79" s="75">
        <v>18</v>
      </c>
      <c r="M79" s="76">
        <v>640.6999999999999</v>
      </c>
      <c r="N79" s="75">
        <v>5</v>
      </c>
      <c r="O79" s="76">
        <v>40.93</v>
      </c>
      <c r="P79" s="75">
        <v>4</v>
      </c>
      <c r="Q79" s="76">
        <v>576.6</v>
      </c>
      <c r="R79" s="75">
        <v>560</v>
      </c>
      <c r="S79" s="76">
        <v>2509.46</v>
      </c>
      <c r="T79" s="32" t="s">
        <v>31</v>
      </c>
      <c r="U79" s="75">
        <v>408</v>
      </c>
      <c r="V79" s="76">
        <v>112.4</v>
      </c>
      <c r="W79" s="75">
        <v>54</v>
      </c>
      <c r="X79" s="76">
        <v>116.14</v>
      </c>
      <c r="Y79" s="75">
        <v>11</v>
      </c>
      <c r="Z79" s="76">
        <v>55.9</v>
      </c>
      <c r="AA79" s="75">
        <v>26</v>
      </c>
      <c r="AB79" s="76">
        <v>543.61</v>
      </c>
      <c r="AC79" s="75">
        <v>10</v>
      </c>
      <c r="AD79" s="76">
        <v>174.1</v>
      </c>
      <c r="AE79" s="75">
        <v>18</v>
      </c>
      <c r="AF79" s="76">
        <v>392.67</v>
      </c>
      <c r="AG79" s="75">
        <v>5</v>
      </c>
      <c r="AH79" s="76">
        <v>25.4</v>
      </c>
      <c r="AI79" s="75">
        <v>4</v>
      </c>
      <c r="AJ79" s="76">
        <v>209.2</v>
      </c>
      <c r="AK79" s="75">
        <v>536</v>
      </c>
      <c r="AL79" s="76">
        <v>1629.42</v>
      </c>
    </row>
    <row r="80" spans="1:38" ht="13.5">
      <c r="A80" s="32" t="s">
        <v>22</v>
      </c>
      <c r="B80" s="75">
        <v>214</v>
      </c>
      <c r="C80" s="76">
        <v>59.33</v>
      </c>
      <c r="D80" s="75">
        <v>25</v>
      </c>
      <c r="E80" s="76">
        <v>50.4</v>
      </c>
      <c r="F80" s="75">
        <v>3</v>
      </c>
      <c r="G80" s="76">
        <v>15.5</v>
      </c>
      <c r="H80" s="75">
        <v>4</v>
      </c>
      <c r="I80" s="76">
        <v>109</v>
      </c>
      <c r="J80" s="75">
        <v>3</v>
      </c>
      <c r="K80" s="76">
        <v>27.5</v>
      </c>
      <c r="L80" s="75">
        <v>2</v>
      </c>
      <c r="M80" s="76">
        <v>25.2</v>
      </c>
      <c r="N80" s="75">
        <v>1</v>
      </c>
      <c r="O80" s="76">
        <v>0.13</v>
      </c>
      <c r="P80" s="75">
        <v>0</v>
      </c>
      <c r="Q80" s="76">
        <v>0</v>
      </c>
      <c r="R80" s="75">
        <v>252</v>
      </c>
      <c r="S80" s="76">
        <v>287.06</v>
      </c>
      <c r="T80" s="32" t="s">
        <v>22</v>
      </c>
      <c r="U80" s="75">
        <v>206</v>
      </c>
      <c r="V80" s="76">
        <v>53.13</v>
      </c>
      <c r="W80" s="75">
        <v>24</v>
      </c>
      <c r="X80" s="76">
        <v>47.6</v>
      </c>
      <c r="Y80" s="75">
        <v>3</v>
      </c>
      <c r="Z80" s="76">
        <v>15.5</v>
      </c>
      <c r="AA80" s="75">
        <v>4</v>
      </c>
      <c r="AB80" s="76">
        <v>105.44</v>
      </c>
      <c r="AC80" s="75">
        <v>3</v>
      </c>
      <c r="AD80" s="76">
        <v>27.5</v>
      </c>
      <c r="AE80" s="75">
        <v>2</v>
      </c>
      <c r="AF80" s="76">
        <v>25.2</v>
      </c>
      <c r="AG80" s="75">
        <v>1</v>
      </c>
      <c r="AH80" s="76">
        <v>0.1</v>
      </c>
      <c r="AI80" s="75">
        <v>0</v>
      </c>
      <c r="AJ80" s="76">
        <v>0</v>
      </c>
      <c r="AK80" s="75">
        <v>243</v>
      </c>
      <c r="AL80" s="76">
        <v>274.47</v>
      </c>
    </row>
    <row r="81" spans="1:38" ht="13.5">
      <c r="A81" s="32" t="s">
        <v>23</v>
      </c>
      <c r="B81" s="75">
        <v>195</v>
      </c>
      <c r="C81" s="76">
        <v>56.31</v>
      </c>
      <c r="D81" s="75">
        <v>22</v>
      </c>
      <c r="E81" s="76">
        <v>57</v>
      </c>
      <c r="F81" s="75">
        <v>3</v>
      </c>
      <c r="G81" s="76">
        <v>17.3</v>
      </c>
      <c r="H81" s="75">
        <v>6</v>
      </c>
      <c r="I81" s="76">
        <v>137.5</v>
      </c>
      <c r="J81" s="75">
        <v>1</v>
      </c>
      <c r="K81" s="76">
        <v>18.1</v>
      </c>
      <c r="L81" s="75">
        <v>3</v>
      </c>
      <c r="M81" s="76">
        <v>51.6</v>
      </c>
      <c r="N81" s="75">
        <v>0</v>
      </c>
      <c r="O81" s="76">
        <v>0</v>
      </c>
      <c r="P81" s="75">
        <v>0</v>
      </c>
      <c r="Q81" s="76">
        <v>0</v>
      </c>
      <c r="R81" s="75">
        <v>230</v>
      </c>
      <c r="S81" s="76">
        <v>337.81</v>
      </c>
      <c r="T81" s="32" t="s">
        <v>23</v>
      </c>
      <c r="U81" s="75">
        <v>185</v>
      </c>
      <c r="V81" s="76">
        <v>54.01</v>
      </c>
      <c r="W81" s="75">
        <v>21</v>
      </c>
      <c r="X81" s="76">
        <v>48.24</v>
      </c>
      <c r="Y81" s="75">
        <v>3</v>
      </c>
      <c r="Z81" s="76">
        <v>14.7</v>
      </c>
      <c r="AA81" s="75">
        <v>6</v>
      </c>
      <c r="AB81" s="76">
        <v>137.5</v>
      </c>
      <c r="AC81" s="75">
        <v>1</v>
      </c>
      <c r="AD81" s="76">
        <v>18.1</v>
      </c>
      <c r="AE81" s="75">
        <v>3</v>
      </c>
      <c r="AF81" s="76">
        <v>51.6</v>
      </c>
      <c r="AG81" s="75">
        <v>0</v>
      </c>
      <c r="AH81" s="76">
        <v>0</v>
      </c>
      <c r="AI81" s="75">
        <v>0</v>
      </c>
      <c r="AJ81" s="76">
        <v>0</v>
      </c>
      <c r="AK81" s="75">
        <v>219</v>
      </c>
      <c r="AL81" s="76">
        <v>324.15</v>
      </c>
    </row>
    <row r="82" spans="1:38" ht="13.5">
      <c r="A82" s="32" t="s">
        <v>24</v>
      </c>
      <c r="B82" s="75">
        <v>17</v>
      </c>
      <c r="C82" s="76">
        <v>5.79</v>
      </c>
      <c r="D82" s="75">
        <v>11</v>
      </c>
      <c r="E82" s="76">
        <v>30.1</v>
      </c>
      <c r="F82" s="75">
        <v>6</v>
      </c>
      <c r="G82" s="76">
        <v>34.4</v>
      </c>
      <c r="H82" s="75">
        <v>17</v>
      </c>
      <c r="I82" s="76">
        <v>481.7</v>
      </c>
      <c r="J82" s="75">
        <v>6</v>
      </c>
      <c r="K82" s="76">
        <v>151.3</v>
      </c>
      <c r="L82" s="75">
        <v>13</v>
      </c>
      <c r="M82" s="76">
        <v>563.9</v>
      </c>
      <c r="N82" s="75">
        <v>4</v>
      </c>
      <c r="O82" s="76">
        <v>40.8</v>
      </c>
      <c r="P82" s="75">
        <v>4</v>
      </c>
      <c r="Q82" s="76">
        <v>576.6</v>
      </c>
      <c r="R82" s="75">
        <v>78</v>
      </c>
      <c r="S82" s="76">
        <v>1884.59</v>
      </c>
      <c r="T82" s="32" t="s">
        <v>24</v>
      </c>
      <c r="U82" s="75">
        <v>17</v>
      </c>
      <c r="V82" s="76">
        <v>5.26</v>
      </c>
      <c r="W82" s="75">
        <v>9</v>
      </c>
      <c r="X82" s="76">
        <v>20.3</v>
      </c>
      <c r="Y82" s="75">
        <v>5</v>
      </c>
      <c r="Z82" s="76">
        <v>25.7</v>
      </c>
      <c r="AA82" s="75">
        <v>16</v>
      </c>
      <c r="AB82" s="76">
        <v>300.67</v>
      </c>
      <c r="AC82" s="75">
        <v>6</v>
      </c>
      <c r="AD82" s="76">
        <v>128.5</v>
      </c>
      <c r="AE82" s="75">
        <v>13</v>
      </c>
      <c r="AF82" s="76">
        <v>315.87</v>
      </c>
      <c r="AG82" s="75">
        <v>4</v>
      </c>
      <c r="AH82" s="76">
        <v>25.3</v>
      </c>
      <c r="AI82" s="75">
        <v>4</v>
      </c>
      <c r="AJ82" s="76">
        <v>209.2</v>
      </c>
      <c r="AK82" s="75">
        <v>74</v>
      </c>
      <c r="AL82" s="76">
        <v>1030.8</v>
      </c>
    </row>
    <row r="83" spans="1:38" ht="13.5">
      <c r="A83" s="32"/>
      <c r="B83" s="19"/>
      <c r="C83" s="20"/>
      <c r="D83" s="19"/>
      <c r="E83" s="20"/>
      <c r="F83" s="19"/>
      <c r="G83" s="20"/>
      <c r="H83" s="19"/>
      <c r="I83" s="20"/>
      <c r="J83" s="19"/>
      <c r="K83" s="20"/>
      <c r="L83" s="19"/>
      <c r="M83" s="20"/>
      <c r="N83" s="19"/>
      <c r="O83" s="20"/>
      <c r="P83" s="19"/>
      <c r="Q83" s="20"/>
      <c r="R83" s="19"/>
      <c r="S83" s="20"/>
      <c r="T83" s="32"/>
      <c r="U83" s="19"/>
      <c r="V83" s="20"/>
      <c r="W83" s="19"/>
      <c r="X83" s="20"/>
      <c r="Y83" s="19"/>
      <c r="Z83" s="20"/>
      <c r="AA83" s="19"/>
      <c r="AB83" s="20"/>
      <c r="AC83" s="19"/>
      <c r="AD83" s="20"/>
      <c r="AE83" s="19"/>
      <c r="AF83" s="20"/>
      <c r="AG83" s="19"/>
      <c r="AH83" s="20"/>
      <c r="AI83" s="19"/>
      <c r="AJ83" s="20"/>
      <c r="AK83" s="19"/>
      <c r="AL83" s="20"/>
    </row>
    <row r="84" spans="1:38" ht="13.5">
      <c r="A84" s="32" t="s">
        <v>110</v>
      </c>
      <c r="B84" s="75">
        <v>449</v>
      </c>
      <c r="C84" s="76">
        <v>124.94000000000001</v>
      </c>
      <c r="D84" s="75">
        <v>87</v>
      </c>
      <c r="E84" s="76">
        <v>203</v>
      </c>
      <c r="F84" s="75">
        <v>19</v>
      </c>
      <c r="G84" s="76">
        <v>112.4</v>
      </c>
      <c r="H84" s="75">
        <v>19</v>
      </c>
      <c r="I84" s="76">
        <v>419.8</v>
      </c>
      <c r="J84" s="75">
        <v>29</v>
      </c>
      <c r="K84" s="76">
        <v>436.5</v>
      </c>
      <c r="L84" s="75">
        <v>5</v>
      </c>
      <c r="M84" s="76">
        <v>74.5</v>
      </c>
      <c r="N84" s="75">
        <v>7</v>
      </c>
      <c r="O84" s="76">
        <v>35</v>
      </c>
      <c r="P84" s="75">
        <v>7</v>
      </c>
      <c r="Q84" s="76">
        <v>741.8</v>
      </c>
      <c r="R84" s="75">
        <v>622</v>
      </c>
      <c r="S84" s="76">
        <v>2147.94</v>
      </c>
      <c r="T84" s="77" t="s">
        <v>111</v>
      </c>
      <c r="U84" s="75">
        <v>424</v>
      </c>
      <c r="V84" s="76">
        <v>117.58000000000001</v>
      </c>
      <c r="W84" s="75">
        <v>79</v>
      </c>
      <c r="X84" s="76">
        <v>178</v>
      </c>
      <c r="Y84" s="75">
        <v>18</v>
      </c>
      <c r="Z84" s="76">
        <v>102.19999999999999</v>
      </c>
      <c r="AA84" s="75">
        <v>16</v>
      </c>
      <c r="AB84" s="76">
        <v>327.9</v>
      </c>
      <c r="AC84" s="75">
        <v>27</v>
      </c>
      <c r="AD84" s="76">
        <v>344.1</v>
      </c>
      <c r="AE84" s="75">
        <v>5</v>
      </c>
      <c r="AF84" s="76">
        <v>72</v>
      </c>
      <c r="AG84" s="75">
        <v>6</v>
      </c>
      <c r="AH84" s="76">
        <v>17.1</v>
      </c>
      <c r="AI84" s="75">
        <v>7</v>
      </c>
      <c r="AJ84" s="76">
        <v>424</v>
      </c>
      <c r="AK84" s="75">
        <v>582</v>
      </c>
      <c r="AL84" s="76">
        <v>1582.88</v>
      </c>
    </row>
    <row r="85" spans="1:38" ht="13.5">
      <c r="A85" s="32" t="s">
        <v>22</v>
      </c>
      <c r="B85" s="75">
        <v>258</v>
      </c>
      <c r="C85" s="76">
        <v>71.76</v>
      </c>
      <c r="D85" s="75">
        <v>39</v>
      </c>
      <c r="E85" s="76">
        <v>86</v>
      </c>
      <c r="F85" s="75">
        <v>2</v>
      </c>
      <c r="G85" s="76">
        <v>13.9</v>
      </c>
      <c r="H85" s="75">
        <v>3</v>
      </c>
      <c r="I85" s="76">
        <v>126.4</v>
      </c>
      <c r="J85" s="75">
        <v>4</v>
      </c>
      <c r="K85" s="76">
        <v>42.6</v>
      </c>
      <c r="L85" s="75">
        <v>1</v>
      </c>
      <c r="M85" s="76">
        <v>4.8</v>
      </c>
      <c r="N85" s="75">
        <v>1</v>
      </c>
      <c r="O85" s="76">
        <v>3.1</v>
      </c>
      <c r="P85" s="75">
        <v>1</v>
      </c>
      <c r="Q85" s="76">
        <v>63.8</v>
      </c>
      <c r="R85" s="75">
        <v>309</v>
      </c>
      <c r="S85" s="76">
        <v>412.36</v>
      </c>
      <c r="T85" s="32" t="s">
        <v>22</v>
      </c>
      <c r="U85" s="75">
        <v>248</v>
      </c>
      <c r="V85" s="76">
        <v>68.43</v>
      </c>
      <c r="W85" s="75">
        <v>38</v>
      </c>
      <c r="X85" s="76">
        <v>89</v>
      </c>
      <c r="Y85" s="75">
        <v>2</v>
      </c>
      <c r="Z85" s="76">
        <v>13.9</v>
      </c>
      <c r="AA85" s="75">
        <v>3</v>
      </c>
      <c r="AB85" s="76">
        <v>103.5</v>
      </c>
      <c r="AC85" s="75">
        <v>4</v>
      </c>
      <c r="AD85" s="76">
        <v>39.2</v>
      </c>
      <c r="AE85" s="75">
        <v>1</v>
      </c>
      <c r="AF85" s="76">
        <v>4.8</v>
      </c>
      <c r="AG85" s="75">
        <v>1</v>
      </c>
      <c r="AH85" s="76">
        <v>3.1</v>
      </c>
      <c r="AI85" s="75">
        <v>1</v>
      </c>
      <c r="AJ85" s="76">
        <v>58</v>
      </c>
      <c r="AK85" s="75">
        <v>298</v>
      </c>
      <c r="AL85" s="76">
        <v>379.93</v>
      </c>
    </row>
    <row r="86" spans="1:38" ht="13.5">
      <c r="A86" s="32" t="s">
        <v>23</v>
      </c>
      <c r="B86" s="75">
        <v>172</v>
      </c>
      <c r="C86" s="76">
        <v>49.5</v>
      </c>
      <c r="D86" s="75">
        <v>41</v>
      </c>
      <c r="E86" s="76">
        <v>103.2</v>
      </c>
      <c r="F86" s="75">
        <v>9</v>
      </c>
      <c r="G86" s="76">
        <v>55.6</v>
      </c>
      <c r="H86" s="75">
        <v>3</v>
      </c>
      <c r="I86" s="76">
        <v>57.9</v>
      </c>
      <c r="J86" s="75">
        <v>6</v>
      </c>
      <c r="K86" s="76">
        <v>82</v>
      </c>
      <c r="L86" s="75">
        <v>1</v>
      </c>
      <c r="M86" s="76">
        <v>16</v>
      </c>
      <c r="N86" s="75">
        <v>3</v>
      </c>
      <c r="O86" s="76">
        <v>13.9</v>
      </c>
      <c r="P86" s="75">
        <v>0</v>
      </c>
      <c r="Q86" s="76">
        <v>0</v>
      </c>
      <c r="R86" s="75">
        <v>235</v>
      </c>
      <c r="S86" s="76">
        <v>378.1</v>
      </c>
      <c r="T86" s="32" t="s">
        <v>23</v>
      </c>
      <c r="U86" s="75">
        <v>157</v>
      </c>
      <c r="V86" s="76">
        <v>45.53</v>
      </c>
      <c r="W86" s="75">
        <v>34</v>
      </c>
      <c r="X86" s="76">
        <v>79.5</v>
      </c>
      <c r="Y86" s="75">
        <v>8</v>
      </c>
      <c r="Z86" s="76">
        <v>45.9</v>
      </c>
      <c r="AA86" s="75">
        <v>2</v>
      </c>
      <c r="AB86" s="76">
        <v>55</v>
      </c>
      <c r="AC86" s="75">
        <v>6</v>
      </c>
      <c r="AD86" s="76">
        <v>76</v>
      </c>
      <c r="AE86" s="75">
        <v>1</v>
      </c>
      <c r="AF86" s="76">
        <v>16</v>
      </c>
      <c r="AG86" s="75">
        <v>2</v>
      </c>
      <c r="AH86" s="76">
        <v>4.7</v>
      </c>
      <c r="AI86" s="75">
        <v>0</v>
      </c>
      <c r="AJ86" s="76">
        <v>0</v>
      </c>
      <c r="AK86" s="75">
        <v>210</v>
      </c>
      <c r="AL86" s="76">
        <v>322.63</v>
      </c>
    </row>
    <row r="87" spans="1:38" ht="13.5">
      <c r="A87" s="32" t="s">
        <v>24</v>
      </c>
      <c r="B87" s="75">
        <v>19</v>
      </c>
      <c r="C87" s="76">
        <v>3.68</v>
      </c>
      <c r="D87" s="75">
        <v>7</v>
      </c>
      <c r="E87" s="76">
        <v>13.8</v>
      </c>
      <c r="F87" s="75">
        <v>8</v>
      </c>
      <c r="G87" s="76">
        <v>42.9</v>
      </c>
      <c r="H87" s="75">
        <v>13</v>
      </c>
      <c r="I87" s="76">
        <v>235.5</v>
      </c>
      <c r="J87" s="75">
        <v>19</v>
      </c>
      <c r="K87" s="76">
        <v>311.9</v>
      </c>
      <c r="L87" s="75">
        <v>3</v>
      </c>
      <c r="M87" s="76">
        <v>53.7</v>
      </c>
      <c r="N87" s="75">
        <v>3</v>
      </c>
      <c r="O87" s="76">
        <v>18</v>
      </c>
      <c r="P87" s="75">
        <v>6</v>
      </c>
      <c r="Q87" s="76">
        <v>678</v>
      </c>
      <c r="R87" s="75">
        <v>78</v>
      </c>
      <c r="S87" s="76">
        <v>1357.48</v>
      </c>
      <c r="T87" s="32" t="s">
        <v>24</v>
      </c>
      <c r="U87" s="75">
        <v>19</v>
      </c>
      <c r="V87" s="76">
        <v>3.62</v>
      </c>
      <c r="W87" s="75">
        <v>7</v>
      </c>
      <c r="X87" s="76">
        <v>9.5</v>
      </c>
      <c r="Y87" s="75">
        <v>8</v>
      </c>
      <c r="Z87" s="76">
        <v>42.4</v>
      </c>
      <c r="AA87" s="75">
        <v>11</v>
      </c>
      <c r="AB87" s="76">
        <v>169.4</v>
      </c>
      <c r="AC87" s="75">
        <v>17</v>
      </c>
      <c r="AD87" s="76">
        <v>228.9</v>
      </c>
      <c r="AE87" s="75">
        <v>3</v>
      </c>
      <c r="AF87" s="76">
        <v>51.2</v>
      </c>
      <c r="AG87" s="75">
        <v>3</v>
      </c>
      <c r="AH87" s="76">
        <v>9.3</v>
      </c>
      <c r="AI87" s="75">
        <v>6</v>
      </c>
      <c r="AJ87" s="76">
        <v>366</v>
      </c>
      <c r="AK87" s="75">
        <v>74</v>
      </c>
      <c r="AL87" s="76">
        <v>880.32</v>
      </c>
    </row>
    <row r="88" spans="1:38" ht="13.5">
      <c r="A88" s="32" t="s">
        <v>33</v>
      </c>
      <c r="B88" s="75">
        <v>609</v>
      </c>
      <c r="C88" s="76">
        <v>149.37</v>
      </c>
      <c r="D88" s="75">
        <v>94</v>
      </c>
      <c r="E88" s="76">
        <v>149.60000000000002</v>
      </c>
      <c r="F88" s="75">
        <v>40</v>
      </c>
      <c r="G88" s="76">
        <v>193.2</v>
      </c>
      <c r="H88" s="75">
        <v>21</v>
      </c>
      <c r="I88" s="76">
        <v>352.1</v>
      </c>
      <c r="J88" s="75">
        <v>21</v>
      </c>
      <c r="K88" s="76">
        <v>434.8</v>
      </c>
      <c r="L88" s="75">
        <v>4</v>
      </c>
      <c r="M88" s="76">
        <v>28.8</v>
      </c>
      <c r="N88" s="75">
        <v>1</v>
      </c>
      <c r="O88" s="76">
        <v>4</v>
      </c>
      <c r="P88" s="75">
        <v>4</v>
      </c>
      <c r="Q88" s="76">
        <v>381.1</v>
      </c>
      <c r="R88" s="75">
        <v>794</v>
      </c>
      <c r="S88" s="76">
        <v>1692.97</v>
      </c>
      <c r="T88" s="32" t="s">
        <v>33</v>
      </c>
      <c r="U88" s="75">
        <v>587</v>
      </c>
      <c r="V88" s="76">
        <v>142.42000000000002</v>
      </c>
      <c r="W88" s="75">
        <v>89</v>
      </c>
      <c r="X88" s="76">
        <v>142.2</v>
      </c>
      <c r="Y88" s="75">
        <v>40</v>
      </c>
      <c r="Z88" s="76">
        <v>189.1</v>
      </c>
      <c r="AA88" s="75">
        <v>21</v>
      </c>
      <c r="AB88" s="76">
        <v>300.5</v>
      </c>
      <c r="AC88" s="75">
        <v>21</v>
      </c>
      <c r="AD88" s="76">
        <v>366.9</v>
      </c>
      <c r="AE88" s="75">
        <v>4</v>
      </c>
      <c r="AF88" s="76">
        <v>23.799999999999997</v>
      </c>
      <c r="AG88" s="75">
        <v>1</v>
      </c>
      <c r="AH88" s="76">
        <v>3.9</v>
      </c>
      <c r="AI88" s="75">
        <v>4</v>
      </c>
      <c r="AJ88" s="76">
        <v>374.4</v>
      </c>
      <c r="AK88" s="75">
        <v>767</v>
      </c>
      <c r="AL88" s="76">
        <v>1543.22</v>
      </c>
    </row>
    <row r="89" spans="1:38" ht="13.5">
      <c r="A89" s="32" t="s">
        <v>22</v>
      </c>
      <c r="B89" s="75">
        <v>348</v>
      </c>
      <c r="C89" s="76">
        <v>80.94</v>
      </c>
      <c r="D89" s="75">
        <v>50</v>
      </c>
      <c r="E89" s="76">
        <v>72.4</v>
      </c>
      <c r="F89" s="75">
        <v>15</v>
      </c>
      <c r="G89" s="76">
        <v>70.3</v>
      </c>
      <c r="H89" s="75">
        <v>2</v>
      </c>
      <c r="I89" s="76">
        <v>31.8</v>
      </c>
      <c r="J89" s="75">
        <v>4</v>
      </c>
      <c r="K89" s="76">
        <v>120.1</v>
      </c>
      <c r="L89" s="75">
        <v>0</v>
      </c>
      <c r="M89" s="76">
        <v>0.8</v>
      </c>
      <c r="N89" s="75">
        <v>0</v>
      </c>
      <c r="O89" s="76">
        <v>0</v>
      </c>
      <c r="P89" s="75">
        <v>0</v>
      </c>
      <c r="Q89" s="76">
        <v>0</v>
      </c>
      <c r="R89" s="75">
        <v>419</v>
      </c>
      <c r="S89" s="76">
        <v>376.34</v>
      </c>
      <c r="T89" s="32" t="s">
        <v>22</v>
      </c>
      <c r="U89" s="75">
        <v>337</v>
      </c>
      <c r="V89" s="76">
        <v>77</v>
      </c>
      <c r="W89" s="75">
        <v>46</v>
      </c>
      <c r="X89" s="76">
        <v>66</v>
      </c>
      <c r="Y89" s="75">
        <v>15</v>
      </c>
      <c r="Z89" s="76">
        <v>69</v>
      </c>
      <c r="AA89" s="75">
        <v>2</v>
      </c>
      <c r="AB89" s="76">
        <v>22.3</v>
      </c>
      <c r="AC89" s="75">
        <v>4</v>
      </c>
      <c r="AD89" s="76">
        <v>88.8</v>
      </c>
      <c r="AE89" s="75">
        <v>0</v>
      </c>
      <c r="AF89" s="76">
        <v>0</v>
      </c>
      <c r="AG89" s="75">
        <v>0</v>
      </c>
      <c r="AH89" s="76">
        <v>0</v>
      </c>
      <c r="AI89" s="75">
        <v>0</v>
      </c>
      <c r="AJ89" s="76">
        <v>0</v>
      </c>
      <c r="AK89" s="75">
        <v>404</v>
      </c>
      <c r="AL89" s="76">
        <v>323.1</v>
      </c>
    </row>
    <row r="90" spans="1:38" ht="13.5">
      <c r="A90" s="32" t="s">
        <v>23</v>
      </c>
      <c r="B90" s="75">
        <v>235</v>
      </c>
      <c r="C90" s="76">
        <v>61.74</v>
      </c>
      <c r="D90" s="75">
        <v>36</v>
      </c>
      <c r="E90" s="76">
        <v>63.2</v>
      </c>
      <c r="F90" s="75">
        <v>14</v>
      </c>
      <c r="G90" s="76">
        <v>67.1</v>
      </c>
      <c r="H90" s="75">
        <v>2</v>
      </c>
      <c r="I90" s="76">
        <v>29.5</v>
      </c>
      <c r="J90" s="75">
        <v>2</v>
      </c>
      <c r="K90" s="76">
        <v>30.1</v>
      </c>
      <c r="L90" s="75">
        <v>3</v>
      </c>
      <c r="M90" s="76">
        <v>19.8</v>
      </c>
      <c r="N90" s="75">
        <v>1</v>
      </c>
      <c r="O90" s="76">
        <v>4</v>
      </c>
      <c r="P90" s="75">
        <v>0</v>
      </c>
      <c r="Q90" s="76">
        <v>0</v>
      </c>
      <c r="R90" s="75">
        <v>293</v>
      </c>
      <c r="S90" s="76">
        <v>275.44</v>
      </c>
      <c r="T90" s="32" t="s">
        <v>23</v>
      </c>
      <c r="U90" s="75">
        <v>224</v>
      </c>
      <c r="V90" s="76">
        <v>58.8</v>
      </c>
      <c r="W90" s="75">
        <v>35</v>
      </c>
      <c r="X90" s="76">
        <v>62.2</v>
      </c>
      <c r="Y90" s="75">
        <v>14</v>
      </c>
      <c r="Z90" s="76">
        <v>67.1</v>
      </c>
      <c r="AA90" s="75">
        <v>2</v>
      </c>
      <c r="AB90" s="76">
        <v>27.7</v>
      </c>
      <c r="AC90" s="75">
        <v>2</v>
      </c>
      <c r="AD90" s="76">
        <v>30.1</v>
      </c>
      <c r="AE90" s="75">
        <v>3</v>
      </c>
      <c r="AF90" s="76">
        <v>19.7</v>
      </c>
      <c r="AG90" s="75">
        <v>1</v>
      </c>
      <c r="AH90" s="76">
        <v>3.9</v>
      </c>
      <c r="AI90" s="75">
        <v>0</v>
      </c>
      <c r="AJ90" s="76">
        <v>0</v>
      </c>
      <c r="AK90" s="75">
        <v>281</v>
      </c>
      <c r="AL90" s="76">
        <v>269.5</v>
      </c>
    </row>
    <row r="91" spans="1:38" ht="13.5">
      <c r="A91" s="32" t="s">
        <v>24</v>
      </c>
      <c r="B91" s="75">
        <v>26</v>
      </c>
      <c r="C91" s="76">
        <v>6.69</v>
      </c>
      <c r="D91" s="75">
        <v>8</v>
      </c>
      <c r="E91" s="76">
        <v>14</v>
      </c>
      <c r="F91" s="75">
        <v>11</v>
      </c>
      <c r="G91" s="76">
        <v>55.8</v>
      </c>
      <c r="H91" s="75">
        <v>17</v>
      </c>
      <c r="I91" s="76">
        <v>290.8</v>
      </c>
      <c r="J91" s="75">
        <v>15</v>
      </c>
      <c r="K91" s="76">
        <v>284.6</v>
      </c>
      <c r="L91" s="75">
        <v>1</v>
      </c>
      <c r="M91" s="76">
        <v>8.2</v>
      </c>
      <c r="N91" s="75">
        <v>0</v>
      </c>
      <c r="O91" s="76">
        <v>0</v>
      </c>
      <c r="P91" s="75">
        <v>4</v>
      </c>
      <c r="Q91" s="76">
        <v>381.1</v>
      </c>
      <c r="R91" s="75">
        <v>82</v>
      </c>
      <c r="S91" s="76">
        <v>1041.19</v>
      </c>
      <c r="T91" s="32" t="s">
        <v>24</v>
      </c>
      <c r="U91" s="75">
        <v>26</v>
      </c>
      <c r="V91" s="76">
        <v>6.62</v>
      </c>
      <c r="W91" s="75">
        <v>8</v>
      </c>
      <c r="X91" s="76">
        <v>14</v>
      </c>
      <c r="Y91" s="75">
        <v>11</v>
      </c>
      <c r="Z91" s="76">
        <v>53</v>
      </c>
      <c r="AA91" s="75">
        <v>17</v>
      </c>
      <c r="AB91" s="76">
        <v>250.5</v>
      </c>
      <c r="AC91" s="75">
        <v>15</v>
      </c>
      <c r="AD91" s="76">
        <v>248</v>
      </c>
      <c r="AE91" s="75">
        <v>1</v>
      </c>
      <c r="AF91" s="76">
        <v>4.1</v>
      </c>
      <c r="AG91" s="75">
        <v>0</v>
      </c>
      <c r="AH91" s="76">
        <v>0</v>
      </c>
      <c r="AI91" s="75">
        <v>4</v>
      </c>
      <c r="AJ91" s="76">
        <v>374.4</v>
      </c>
      <c r="AK91" s="75">
        <v>82</v>
      </c>
      <c r="AL91" s="76">
        <v>950.62</v>
      </c>
    </row>
    <row r="92" spans="1:38" ht="13.5">
      <c r="A92" s="32" t="s">
        <v>34</v>
      </c>
      <c r="B92" s="75">
        <v>534</v>
      </c>
      <c r="C92" s="76">
        <v>138.78</v>
      </c>
      <c r="D92" s="75">
        <v>102</v>
      </c>
      <c r="E92" s="76">
        <v>178.2</v>
      </c>
      <c r="F92" s="75">
        <v>18</v>
      </c>
      <c r="G92" s="76">
        <v>99</v>
      </c>
      <c r="H92" s="75">
        <v>25</v>
      </c>
      <c r="I92" s="76">
        <v>963.3</v>
      </c>
      <c r="J92" s="75">
        <v>11</v>
      </c>
      <c r="K92" s="76">
        <v>271.5</v>
      </c>
      <c r="L92" s="75">
        <v>7</v>
      </c>
      <c r="M92" s="76">
        <v>686.6999999999999</v>
      </c>
      <c r="N92" s="75">
        <v>3</v>
      </c>
      <c r="O92" s="76">
        <v>41</v>
      </c>
      <c r="P92" s="75">
        <v>1</v>
      </c>
      <c r="Q92" s="76">
        <v>60.3</v>
      </c>
      <c r="R92" s="75">
        <v>701</v>
      </c>
      <c r="S92" s="76">
        <v>2438.78</v>
      </c>
      <c r="T92" s="32" t="s">
        <v>34</v>
      </c>
      <c r="U92" s="75">
        <v>502</v>
      </c>
      <c r="V92" s="76">
        <v>131.47</v>
      </c>
      <c r="W92" s="75">
        <v>87</v>
      </c>
      <c r="X92" s="76">
        <v>154.29999999999998</v>
      </c>
      <c r="Y92" s="75">
        <v>16</v>
      </c>
      <c r="Z92" s="76">
        <v>69.7</v>
      </c>
      <c r="AA92" s="75">
        <v>25</v>
      </c>
      <c r="AB92" s="76">
        <v>601.9000000000001</v>
      </c>
      <c r="AC92" s="75">
        <v>11</v>
      </c>
      <c r="AD92" s="76">
        <v>218.9</v>
      </c>
      <c r="AE92" s="75">
        <v>7</v>
      </c>
      <c r="AF92" s="76">
        <v>529</v>
      </c>
      <c r="AG92" s="75">
        <v>2</v>
      </c>
      <c r="AH92" s="76">
        <v>15.7</v>
      </c>
      <c r="AI92" s="75">
        <v>1</v>
      </c>
      <c r="AJ92" s="76">
        <v>60.3</v>
      </c>
      <c r="AK92" s="75">
        <v>651</v>
      </c>
      <c r="AL92" s="76">
        <v>1781.27</v>
      </c>
    </row>
    <row r="93" spans="1:38" ht="13.5">
      <c r="A93" s="32" t="s">
        <v>22</v>
      </c>
      <c r="B93" s="75">
        <v>368</v>
      </c>
      <c r="C93" s="76">
        <v>92.86</v>
      </c>
      <c r="D93" s="75">
        <v>54</v>
      </c>
      <c r="E93" s="76">
        <v>83.8</v>
      </c>
      <c r="F93" s="75">
        <v>3</v>
      </c>
      <c r="G93" s="76">
        <v>13.3</v>
      </c>
      <c r="H93" s="75">
        <v>4</v>
      </c>
      <c r="I93" s="76">
        <v>76.4</v>
      </c>
      <c r="J93" s="75">
        <v>2</v>
      </c>
      <c r="K93" s="76">
        <v>53.6</v>
      </c>
      <c r="L93" s="75">
        <v>0</v>
      </c>
      <c r="M93" s="76">
        <v>0</v>
      </c>
      <c r="N93" s="75">
        <v>0</v>
      </c>
      <c r="O93" s="76">
        <v>0</v>
      </c>
      <c r="P93" s="75">
        <v>0</v>
      </c>
      <c r="Q93" s="76">
        <v>0</v>
      </c>
      <c r="R93" s="75">
        <v>431</v>
      </c>
      <c r="S93" s="76">
        <v>319.96</v>
      </c>
      <c r="T93" s="32" t="s">
        <v>22</v>
      </c>
      <c r="U93" s="75">
        <v>351</v>
      </c>
      <c r="V93" s="76">
        <v>89.72</v>
      </c>
      <c r="W93" s="75">
        <v>47</v>
      </c>
      <c r="X93" s="76">
        <v>72.8</v>
      </c>
      <c r="Y93" s="75">
        <v>3</v>
      </c>
      <c r="Z93" s="76">
        <v>13.3</v>
      </c>
      <c r="AA93" s="75">
        <v>4</v>
      </c>
      <c r="AB93" s="76">
        <v>75.4</v>
      </c>
      <c r="AC93" s="75">
        <v>2</v>
      </c>
      <c r="AD93" s="76">
        <v>53.1</v>
      </c>
      <c r="AE93" s="75">
        <v>0</v>
      </c>
      <c r="AF93" s="76">
        <v>0</v>
      </c>
      <c r="AG93" s="75">
        <v>0</v>
      </c>
      <c r="AH93" s="76">
        <v>0</v>
      </c>
      <c r="AI93" s="75">
        <v>0</v>
      </c>
      <c r="AJ93" s="76">
        <v>0</v>
      </c>
      <c r="AK93" s="75">
        <v>407</v>
      </c>
      <c r="AL93" s="76">
        <v>304.32</v>
      </c>
    </row>
    <row r="94" spans="1:38" ht="13.5">
      <c r="A94" s="32" t="s">
        <v>23</v>
      </c>
      <c r="B94" s="75">
        <v>145</v>
      </c>
      <c r="C94" s="76">
        <v>40.44</v>
      </c>
      <c r="D94" s="75">
        <v>39</v>
      </c>
      <c r="E94" s="76">
        <v>77.8</v>
      </c>
      <c r="F94" s="75">
        <v>3</v>
      </c>
      <c r="G94" s="76">
        <v>26.7</v>
      </c>
      <c r="H94" s="75">
        <v>2</v>
      </c>
      <c r="I94" s="76">
        <v>119.1</v>
      </c>
      <c r="J94" s="75">
        <v>0</v>
      </c>
      <c r="K94" s="76">
        <v>0</v>
      </c>
      <c r="L94" s="75">
        <v>1</v>
      </c>
      <c r="M94" s="76">
        <v>11.9</v>
      </c>
      <c r="N94" s="75">
        <v>0</v>
      </c>
      <c r="O94" s="76">
        <v>0</v>
      </c>
      <c r="P94" s="75">
        <v>0</v>
      </c>
      <c r="Q94" s="76">
        <v>0</v>
      </c>
      <c r="R94" s="75">
        <v>190</v>
      </c>
      <c r="S94" s="76">
        <v>275.94</v>
      </c>
      <c r="T94" s="32" t="s">
        <v>23</v>
      </c>
      <c r="U94" s="75">
        <v>131</v>
      </c>
      <c r="V94" s="76">
        <v>36.42</v>
      </c>
      <c r="W94" s="75">
        <v>32</v>
      </c>
      <c r="X94" s="76">
        <v>68.3</v>
      </c>
      <c r="Y94" s="75">
        <v>3</v>
      </c>
      <c r="Z94" s="76">
        <v>12.3</v>
      </c>
      <c r="AA94" s="75">
        <v>2</v>
      </c>
      <c r="AB94" s="76">
        <v>51.4</v>
      </c>
      <c r="AC94" s="75">
        <v>0</v>
      </c>
      <c r="AD94" s="76">
        <v>0</v>
      </c>
      <c r="AE94" s="75">
        <v>1</v>
      </c>
      <c r="AF94" s="76">
        <v>6</v>
      </c>
      <c r="AG94" s="75">
        <v>0</v>
      </c>
      <c r="AH94" s="76">
        <v>0</v>
      </c>
      <c r="AI94" s="75">
        <v>0</v>
      </c>
      <c r="AJ94" s="76">
        <v>0</v>
      </c>
      <c r="AK94" s="75">
        <v>169</v>
      </c>
      <c r="AL94" s="76">
        <v>174.42</v>
      </c>
    </row>
    <row r="95" spans="1:38" ht="13.5">
      <c r="A95" s="32" t="s">
        <v>24</v>
      </c>
      <c r="B95" s="75">
        <v>21</v>
      </c>
      <c r="C95" s="76">
        <v>5.48</v>
      </c>
      <c r="D95" s="75">
        <v>9</v>
      </c>
      <c r="E95" s="76">
        <v>16.6</v>
      </c>
      <c r="F95" s="75">
        <v>12</v>
      </c>
      <c r="G95" s="76">
        <v>59</v>
      </c>
      <c r="H95" s="75">
        <v>19</v>
      </c>
      <c r="I95" s="76">
        <v>767.8</v>
      </c>
      <c r="J95" s="75">
        <v>9</v>
      </c>
      <c r="K95" s="76">
        <v>217.9</v>
      </c>
      <c r="L95" s="75">
        <v>6</v>
      </c>
      <c r="M95" s="76">
        <v>674.8</v>
      </c>
      <c r="N95" s="75">
        <v>3</v>
      </c>
      <c r="O95" s="76">
        <v>41</v>
      </c>
      <c r="P95" s="75">
        <v>1</v>
      </c>
      <c r="Q95" s="76">
        <v>60.3</v>
      </c>
      <c r="R95" s="75">
        <v>80</v>
      </c>
      <c r="S95" s="76">
        <v>1842.88</v>
      </c>
      <c r="T95" s="32" t="s">
        <v>24</v>
      </c>
      <c r="U95" s="75">
        <v>20</v>
      </c>
      <c r="V95" s="76">
        <v>5.33</v>
      </c>
      <c r="W95" s="75">
        <v>8</v>
      </c>
      <c r="X95" s="76">
        <v>13.2</v>
      </c>
      <c r="Y95" s="75">
        <v>10</v>
      </c>
      <c r="Z95" s="76">
        <v>44.1</v>
      </c>
      <c r="AA95" s="75">
        <v>19</v>
      </c>
      <c r="AB95" s="76">
        <v>475.1</v>
      </c>
      <c r="AC95" s="75">
        <v>9</v>
      </c>
      <c r="AD95" s="76">
        <v>165.8</v>
      </c>
      <c r="AE95" s="75">
        <v>6</v>
      </c>
      <c r="AF95" s="76">
        <v>523</v>
      </c>
      <c r="AG95" s="75">
        <v>2</v>
      </c>
      <c r="AH95" s="76">
        <v>15.7</v>
      </c>
      <c r="AI95" s="75">
        <v>1</v>
      </c>
      <c r="AJ95" s="76">
        <v>60.3</v>
      </c>
      <c r="AK95" s="75">
        <v>75</v>
      </c>
      <c r="AL95" s="76">
        <v>1302.53</v>
      </c>
    </row>
    <row r="96" spans="1:38" ht="13.5">
      <c r="A96" s="32" t="s">
        <v>35</v>
      </c>
      <c r="B96" s="75">
        <v>1297</v>
      </c>
      <c r="C96" s="76">
        <v>321.99</v>
      </c>
      <c r="D96" s="75">
        <v>166</v>
      </c>
      <c r="E96" s="76">
        <v>306.74</v>
      </c>
      <c r="F96" s="75">
        <v>31</v>
      </c>
      <c r="G96" s="76">
        <v>161.4</v>
      </c>
      <c r="H96" s="75">
        <v>56</v>
      </c>
      <c r="I96" s="76">
        <v>1154.1</v>
      </c>
      <c r="J96" s="75">
        <v>14</v>
      </c>
      <c r="K96" s="76">
        <v>236.5</v>
      </c>
      <c r="L96" s="75">
        <v>1</v>
      </c>
      <c r="M96" s="76">
        <v>9.2</v>
      </c>
      <c r="N96" s="75">
        <v>6</v>
      </c>
      <c r="O96" s="76">
        <v>9.5</v>
      </c>
      <c r="P96" s="75">
        <v>15</v>
      </c>
      <c r="Q96" s="76">
        <v>959.8</v>
      </c>
      <c r="R96" s="75">
        <v>1586</v>
      </c>
      <c r="S96" s="76">
        <v>3159.24</v>
      </c>
      <c r="T96" s="32" t="s">
        <v>35</v>
      </c>
      <c r="U96" s="75">
        <v>1263</v>
      </c>
      <c r="V96" s="76">
        <v>314.66</v>
      </c>
      <c r="W96" s="75">
        <v>158</v>
      </c>
      <c r="X96" s="76">
        <v>285.05</v>
      </c>
      <c r="Y96" s="75">
        <v>30</v>
      </c>
      <c r="Z96" s="76">
        <v>150.4</v>
      </c>
      <c r="AA96" s="75">
        <v>54</v>
      </c>
      <c r="AB96" s="76">
        <v>818.0799999999999</v>
      </c>
      <c r="AC96" s="75">
        <v>13</v>
      </c>
      <c r="AD96" s="76">
        <v>211.43</v>
      </c>
      <c r="AE96" s="75">
        <v>1</v>
      </c>
      <c r="AF96" s="76">
        <v>8.7</v>
      </c>
      <c r="AG96" s="75">
        <v>6</v>
      </c>
      <c r="AH96" s="76">
        <v>9.4</v>
      </c>
      <c r="AI96" s="75">
        <v>15</v>
      </c>
      <c r="AJ96" s="76">
        <v>679.5</v>
      </c>
      <c r="AK96" s="75">
        <v>1540</v>
      </c>
      <c r="AL96" s="76">
        <v>2474.8199999999997</v>
      </c>
    </row>
    <row r="97" spans="1:38" ht="13.5">
      <c r="A97" s="32" t="s">
        <v>22</v>
      </c>
      <c r="B97" s="75">
        <v>1155</v>
      </c>
      <c r="C97" s="76">
        <v>284.28</v>
      </c>
      <c r="D97" s="75">
        <v>119</v>
      </c>
      <c r="E97" s="76">
        <v>211.9</v>
      </c>
      <c r="F97" s="75">
        <v>9</v>
      </c>
      <c r="G97" s="76">
        <v>47.4</v>
      </c>
      <c r="H97" s="75">
        <v>9</v>
      </c>
      <c r="I97" s="76">
        <v>169.7</v>
      </c>
      <c r="J97" s="75">
        <v>5</v>
      </c>
      <c r="K97" s="76">
        <v>63.7</v>
      </c>
      <c r="L97" s="75">
        <v>0</v>
      </c>
      <c r="M97" s="76">
        <v>0</v>
      </c>
      <c r="N97" s="75">
        <v>3</v>
      </c>
      <c r="O97" s="76">
        <v>4.8</v>
      </c>
      <c r="P97" s="75">
        <v>2</v>
      </c>
      <c r="Q97" s="76">
        <v>123.5</v>
      </c>
      <c r="R97" s="75">
        <v>1302</v>
      </c>
      <c r="S97" s="76">
        <v>905.29</v>
      </c>
      <c r="T97" s="32" t="s">
        <v>22</v>
      </c>
      <c r="U97" s="75">
        <v>1125</v>
      </c>
      <c r="V97" s="76">
        <v>278.45</v>
      </c>
      <c r="W97" s="75">
        <v>115</v>
      </c>
      <c r="X97" s="76">
        <v>206.11</v>
      </c>
      <c r="Y97" s="75">
        <v>8</v>
      </c>
      <c r="Z97" s="76">
        <v>45.29</v>
      </c>
      <c r="AA97" s="75">
        <v>8</v>
      </c>
      <c r="AB97" s="76">
        <v>117.74</v>
      </c>
      <c r="AC97" s="75">
        <v>5</v>
      </c>
      <c r="AD97" s="76">
        <v>61.73</v>
      </c>
      <c r="AE97" s="75">
        <v>0</v>
      </c>
      <c r="AF97" s="76">
        <v>0</v>
      </c>
      <c r="AG97" s="75">
        <v>3</v>
      </c>
      <c r="AH97" s="76">
        <v>4.8</v>
      </c>
      <c r="AI97" s="75">
        <v>2</v>
      </c>
      <c r="AJ97" s="76">
        <v>118</v>
      </c>
      <c r="AK97" s="75">
        <v>1266</v>
      </c>
      <c r="AL97" s="76">
        <v>832.12</v>
      </c>
    </row>
    <row r="98" spans="1:38" ht="13.5">
      <c r="A98" s="32" t="s">
        <v>23</v>
      </c>
      <c r="B98" s="75">
        <v>104</v>
      </c>
      <c r="C98" s="76">
        <v>27.22</v>
      </c>
      <c r="D98" s="75">
        <v>24</v>
      </c>
      <c r="E98" s="76">
        <v>43.3</v>
      </c>
      <c r="F98" s="75">
        <v>2</v>
      </c>
      <c r="G98" s="76">
        <v>12.1</v>
      </c>
      <c r="H98" s="75">
        <v>2</v>
      </c>
      <c r="I98" s="76">
        <v>50.2</v>
      </c>
      <c r="J98" s="75">
        <v>2</v>
      </c>
      <c r="K98" s="76">
        <v>39.5</v>
      </c>
      <c r="L98" s="75">
        <v>0</v>
      </c>
      <c r="M98" s="76">
        <v>0</v>
      </c>
      <c r="N98" s="75">
        <v>1</v>
      </c>
      <c r="O98" s="76">
        <v>1.1</v>
      </c>
      <c r="P98" s="75">
        <v>1</v>
      </c>
      <c r="Q98" s="76">
        <v>80</v>
      </c>
      <c r="R98" s="75">
        <v>133</v>
      </c>
      <c r="S98" s="76">
        <v>252.22</v>
      </c>
      <c r="T98" s="32" t="s">
        <v>23</v>
      </c>
      <c r="U98" s="75">
        <v>101</v>
      </c>
      <c r="V98" s="76">
        <v>26.36</v>
      </c>
      <c r="W98" s="75">
        <v>23</v>
      </c>
      <c r="X98" s="76">
        <v>42.4</v>
      </c>
      <c r="Y98" s="75">
        <v>2</v>
      </c>
      <c r="Z98" s="76">
        <v>12.1</v>
      </c>
      <c r="AA98" s="75">
        <v>2</v>
      </c>
      <c r="AB98" s="76">
        <v>50.2</v>
      </c>
      <c r="AC98" s="75">
        <v>1</v>
      </c>
      <c r="AD98" s="76">
        <v>29.5</v>
      </c>
      <c r="AE98" s="75">
        <v>0</v>
      </c>
      <c r="AF98" s="76">
        <v>0</v>
      </c>
      <c r="AG98" s="75">
        <v>1</v>
      </c>
      <c r="AH98" s="76">
        <v>1</v>
      </c>
      <c r="AI98" s="75">
        <v>1</v>
      </c>
      <c r="AJ98" s="76">
        <v>46.1</v>
      </c>
      <c r="AK98" s="75">
        <v>128</v>
      </c>
      <c r="AL98" s="76">
        <v>206.46</v>
      </c>
    </row>
    <row r="99" spans="1:38" ht="13.5">
      <c r="A99" s="32" t="s">
        <v>24</v>
      </c>
      <c r="B99" s="75">
        <v>38</v>
      </c>
      <c r="C99" s="76">
        <v>10.49</v>
      </c>
      <c r="D99" s="75">
        <v>23</v>
      </c>
      <c r="E99" s="76">
        <v>51.54</v>
      </c>
      <c r="F99" s="75">
        <v>20</v>
      </c>
      <c r="G99" s="76">
        <v>101.9</v>
      </c>
      <c r="H99" s="75">
        <v>45</v>
      </c>
      <c r="I99" s="76">
        <v>934.2</v>
      </c>
      <c r="J99" s="75">
        <v>7</v>
      </c>
      <c r="K99" s="76">
        <v>133.3</v>
      </c>
      <c r="L99" s="75">
        <v>1</v>
      </c>
      <c r="M99" s="76">
        <v>9.2</v>
      </c>
      <c r="N99" s="75">
        <v>2</v>
      </c>
      <c r="O99" s="76">
        <v>3.6</v>
      </c>
      <c r="P99" s="75">
        <v>12</v>
      </c>
      <c r="Q99" s="76">
        <v>756.3</v>
      </c>
      <c r="R99" s="75">
        <v>151</v>
      </c>
      <c r="S99" s="76">
        <v>2001.73</v>
      </c>
      <c r="T99" s="32" t="s">
        <v>24</v>
      </c>
      <c r="U99" s="75">
        <v>37</v>
      </c>
      <c r="V99" s="76">
        <v>9.85</v>
      </c>
      <c r="W99" s="75">
        <v>20</v>
      </c>
      <c r="X99" s="76">
        <v>36.54</v>
      </c>
      <c r="Y99" s="75">
        <v>20</v>
      </c>
      <c r="Z99" s="76">
        <v>93.01</v>
      </c>
      <c r="AA99" s="75">
        <v>44</v>
      </c>
      <c r="AB99" s="76">
        <v>650.14</v>
      </c>
      <c r="AC99" s="75">
        <v>7</v>
      </c>
      <c r="AD99" s="76">
        <v>120.2</v>
      </c>
      <c r="AE99" s="75">
        <v>1</v>
      </c>
      <c r="AF99" s="76">
        <v>8.7</v>
      </c>
      <c r="AG99" s="75">
        <v>2</v>
      </c>
      <c r="AH99" s="76">
        <v>3.6</v>
      </c>
      <c r="AI99" s="75">
        <v>12</v>
      </c>
      <c r="AJ99" s="76">
        <v>515.4</v>
      </c>
      <c r="AK99" s="75">
        <v>146</v>
      </c>
      <c r="AL99" s="76">
        <v>1436.24</v>
      </c>
    </row>
    <row r="100" spans="1:38" ht="13.5">
      <c r="A100" s="32" t="s">
        <v>36</v>
      </c>
      <c r="B100" s="75">
        <v>1747</v>
      </c>
      <c r="C100" s="76">
        <v>411.63</v>
      </c>
      <c r="D100" s="75">
        <v>243</v>
      </c>
      <c r="E100" s="76">
        <v>462.29999999999995</v>
      </c>
      <c r="F100" s="75">
        <v>53</v>
      </c>
      <c r="G100" s="76">
        <v>286.5</v>
      </c>
      <c r="H100" s="75">
        <v>37</v>
      </c>
      <c r="I100" s="76">
        <v>818.3</v>
      </c>
      <c r="J100" s="75">
        <v>20</v>
      </c>
      <c r="K100" s="76">
        <v>322.4</v>
      </c>
      <c r="L100" s="75">
        <v>8</v>
      </c>
      <c r="M100" s="76">
        <v>28.400000000000002</v>
      </c>
      <c r="N100" s="75">
        <v>14</v>
      </c>
      <c r="O100" s="76">
        <v>66.2</v>
      </c>
      <c r="P100" s="75">
        <v>5</v>
      </c>
      <c r="Q100" s="76">
        <v>452.20000000000005</v>
      </c>
      <c r="R100" s="75">
        <v>2127</v>
      </c>
      <c r="S100" s="76">
        <v>2847.93</v>
      </c>
      <c r="T100" s="32" t="s">
        <v>36</v>
      </c>
      <c r="U100" s="75">
        <v>1704</v>
      </c>
      <c r="V100" s="76">
        <v>398.53</v>
      </c>
      <c r="W100" s="75">
        <v>225</v>
      </c>
      <c r="X100" s="76">
        <v>420.2</v>
      </c>
      <c r="Y100" s="75">
        <v>52</v>
      </c>
      <c r="Z100" s="76">
        <v>265.1</v>
      </c>
      <c r="AA100" s="75">
        <v>35</v>
      </c>
      <c r="AB100" s="76">
        <v>684.9000000000001</v>
      </c>
      <c r="AC100" s="75">
        <v>20</v>
      </c>
      <c r="AD100" s="76">
        <v>296.59999999999997</v>
      </c>
      <c r="AE100" s="75">
        <v>7</v>
      </c>
      <c r="AF100" s="76">
        <v>20.4</v>
      </c>
      <c r="AG100" s="75">
        <v>14</v>
      </c>
      <c r="AH100" s="76">
        <v>48.5</v>
      </c>
      <c r="AI100" s="75">
        <v>5</v>
      </c>
      <c r="AJ100" s="76">
        <v>267.9</v>
      </c>
      <c r="AK100" s="75">
        <v>2062</v>
      </c>
      <c r="AL100" s="76">
        <v>2402.2</v>
      </c>
    </row>
    <row r="101" spans="1:38" ht="13.5">
      <c r="A101" s="32" t="s">
        <v>22</v>
      </c>
      <c r="B101" s="75">
        <v>1453</v>
      </c>
      <c r="C101" s="76">
        <v>335.51</v>
      </c>
      <c r="D101" s="75">
        <v>173</v>
      </c>
      <c r="E101" s="76">
        <v>322.2</v>
      </c>
      <c r="F101" s="75">
        <v>24</v>
      </c>
      <c r="G101" s="76">
        <v>113.9</v>
      </c>
      <c r="H101" s="75">
        <v>7</v>
      </c>
      <c r="I101" s="76">
        <v>144.2</v>
      </c>
      <c r="J101" s="75">
        <v>12</v>
      </c>
      <c r="K101" s="76">
        <v>207</v>
      </c>
      <c r="L101" s="75">
        <v>2</v>
      </c>
      <c r="M101" s="76">
        <v>6.4</v>
      </c>
      <c r="N101" s="75">
        <v>10</v>
      </c>
      <c r="O101" s="76">
        <v>40.8</v>
      </c>
      <c r="P101" s="75">
        <v>2</v>
      </c>
      <c r="Q101" s="76">
        <v>125.6</v>
      </c>
      <c r="R101" s="75">
        <v>1683</v>
      </c>
      <c r="S101" s="76">
        <v>1295.61</v>
      </c>
      <c r="T101" s="32" t="s">
        <v>22</v>
      </c>
      <c r="U101" s="75">
        <v>1432</v>
      </c>
      <c r="V101" s="76">
        <v>330.34</v>
      </c>
      <c r="W101" s="75">
        <v>162</v>
      </c>
      <c r="X101" s="76">
        <v>295.9</v>
      </c>
      <c r="Y101" s="75">
        <v>24</v>
      </c>
      <c r="Z101" s="76">
        <v>109.1</v>
      </c>
      <c r="AA101" s="75">
        <v>7</v>
      </c>
      <c r="AB101" s="76">
        <v>131.7</v>
      </c>
      <c r="AC101" s="75">
        <v>12</v>
      </c>
      <c r="AD101" s="76">
        <v>187.2</v>
      </c>
      <c r="AE101" s="75">
        <v>2</v>
      </c>
      <c r="AF101" s="76">
        <v>5.8</v>
      </c>
      <c r="AG101" s="75">
        <v>10</v>
      </c>
      <c r="AH101" s="76">
        <v>35.8</v>
      </c>
      <c r="AI101" s="75">
        <v>2</v>
      </c>
      <c r="AJ101" s="76">
        <v>122.1</v>
      </c>
      <c r="AK101" s="75">
        <v>1651</v>
      </c>
      <c r="AL101" s="76">
        <v>1218.01</v>
      </c>
    </row>
    <row r="102" spans="1:38" ht="13.5">
      <c r="A102" s="32" t="s">
        <v>23</v>
      </c>
      <c r="B102" s="75">
        <v>257</v>
      </c>
      <c r="C102" s="76">
        <v>67.37</v>
      </c>
      <c r="D102" s="75">
        <v>60</v>
      </c>
      <c r="E102" s="76">
        <v>116.6</v>
      </c>
      <c r="F102" s="75">
        <v>18</v>
      </c>
      <c r="G102" s="76">
        <v>104.7</v>
      </c>
      <c r="H102" s="75">
        <v>8</v>
      </c>
      <c r="I102" s="76">
        <v>131</v>
      </c>
      <c r="J102" s="75">
        <v>2</v>
      </c>
      <c r="K102" s="76">
        <v>23.5</v>
      </c>
      <c r="L102" s="75">
        <v>1</v>
      </c>
      <c r="M102" s="76">
        <v>4.2</v>
      </c>
      <c r="N102" s="75">
        <v>2</v>
      </c>
      <c r="O102" s="76">
        <v>4.1</v>
      </c>
      <c r="P102" s="75">
        <v>0</v>
      </c>
      <c r="Q102" s="76">
        <v>0</v>
      </c>
      <c r="R102" s="75">
        <v>348</v>
      </c>
      <c r="S102" s="76">
        <v>451.47</v>
      </c>
      <c r="T102" s="32" t="s">
        <v>23</v>
      </c>
      <c r="U102" s="75">
        <v>237</v>
      </c>
      <c r="V102" s="76">
        <v>60.47</v>
      </c>
      <c r="W102" s="75">
        <v>55</v>
      </c>
      <c r="X102" s="76">
        <v>105.5</v>
      </c>
      <c r="Y102" s="75">
        <v>17</v>
      </c>
      <c r="Z102" s="76">
        <v>91</v>
      </c>
      <c r="AA102" s="75">
        <v>7</v>
      </c>
      <c r="AB102" s="76">
        <v>128.4</v>
      </c>
      <c r="AC102" s="75">
        <v>2</v>
      </c>
      <c r="AD102" s="76">
        <v>20.6</v>
      </c>
      <c r="AE102" s="75">
        <v>1</v>
      </c>
      <c r="AF102" s="76">
        <v>4.2</v>
      </c>
      <c r="AG102" s="75">
        <v>2</v>
      </c>
      <c r="AH102" s="76">
        <v>4.1</v>
      </c>
      <c r="AI102" s="75">
        <v>0</v>
      </c>
      <c r="AJ102" s="76">
        <v>0</v>
      </c>
      <c r="AK102" s="75">
        <v>321</v>
      </c>
      <c r="AL102" s="76">
        <v>414.27</v>
      </c>
    </row>
    <row r="103" spans="1:38" ht="13.5">
      <c r="A103" s="32" t="s">
        <v>24</v>
      </c>
      <c r="B103" s="75">
        <v>37</v>
      </c>
      <c r="C103" s="76">
        <v>8.75</v>
      </c>
      <c r="D103" s="75">
        <v>10</v>
      </c>
      <c r="E103" s="76">
        <v>23.5</v>
      </c>
      <c r="F103" s="75">
        <v>11</v>
      </c>
      <c r="G103" s="76">
        <v>67.9</v>
      </c>
      <c r="H103" s="75">
        <v>22</v>
      </c>
      <c r="I103" s="76">
        <v>543.1</v>
      </c>
      <c r="J103" s="75">
        <v>6</v>
      </c>
      <c r="K103" s="76">
        <v>91.9</v>
      </c>
      <c r="L103" s="75">
        <v>5</v>
      </c>
      <c r="M103" s="76">
        <v>17.8</v>
      </c>
      <c r="N103" s="75">
        <v>2</v>
      </c>
      <c r="O103" s="76">
        <v>21.3</v>
      </c>
      <c r="P103" s="75">
        <v>3</v>
      </c>
      <c r="Q103" s="76">
        <v>326.6</v>
      </c>
      <c r="R103" s="75">
        <v>96</v>
      </c>
      <c r="S103" s="76">
        <v>1100.85</v>
      </c>
      <c r="T103" s="32" t="s">
        <v>24</v>
      </c>
      <c r="U103" s="75">
        <v>35</v>
      </c>
      <c r="V103" s="76">
        <v>7.72</v>
      </c>
      <c r="W103" s="75">
        <v>8</v>
      </c>
      <c r="X103" s="76">
        <v>18.8</v>
      </c>
      <c r="Y103" s="75">
        <v>11</v>
      </c>
      <c r="Z103" s="76">
        <v>65</v>
      </c>
      <c r="AA103" s="75">
        <v>21</v>
      </c>
      <c r="AB103" s="76">
        <v>424.8</v>
      </c>
      <c r="AC103" s="75">
        <v>6</v>
      </c>
      <c r="AD103" s="76">
        <v>88.8</v>
      </c>
      <c r="AE103" s="75">
        <v>4</v>
      </c>
      <c r="AF103" s="76">
        <v>10.4</v>
      </c>
      <c r="AG103" s="75">
        <v>2</v>
      </c>
      <c r="AH103" s="76">
        <v>8.6</v>
      </c>
      <c r="AI103" s="75">
        <v>3</v>
      </c>
      <c r="AJ103" s="76">
        <v>145.8</v>
      </c>
      <c r="AK103" s="75">
        <v>90</v>
      </c>
      <c r="AL103" s="76">
        <v>769.92</v>
      </c>
    </row>
    <row r="104" spans="1:38" ht="13.5">
      <c r="A104" s="32" t="s">
        <v>37</v>
      </c>
      <c r="B104" s="75">
        <v>1760</v>
      </c>
      <c r="C104" s="76">
        <v>457.31</v>
      </c>
      <c r="D104" s="75">
        <v>279</v>
      </c>
      <c r="E104" s="76">
        <v>608.33</v>
      </c>
      <c r="F104" s="75">
        <v>34</v>
      </c>
      <c r="G104" s="76">
        <v>200.9</v>
      </c>
      <c r="H104" s="75">
        <v>79</v>
      </c>
      <c r="I104" s="76">
        <v>1603.9900000000002</v>
      </c>
      <c r="J104" s="75">
        <v>35</v>
      </c>
      <c r="K104" s="76">
        <v>426.70000000000005</v>
      </c>
      <c r="L104" s="75">
        <v>25</v>
      </c>
      <c r="M104" s="76">
        <v>416.13</v>
      </c>
      <c r="N104" s="75">
        <v>42</v>
      </c>
      <c r="O104" s="76">
        <v>504.07</v>
      </c>
      <c r="P104" s="75">
        <v>12</v>
      </c>
      <c r="Q104" s="76">
        <v>1349.4</v>
      </c>
      <c r="R104" s="75">
        <v>2266</v>
      </c>
      <c r="S104" s="76">
        <v>5566.83</v>
      </c>
      <c r="T104" s="32" t="s">
        <v>37</v>
      </c>
      <c r="U104" s="75">
        <v>1629</v>
      </c>
      <c r="V104" s="76">
        <v>396.72</v>
      </c>
      <c r="W104" s="75">
        <v>248</v>
      </c>
      <c r="X104" s="76">
        <v>453</v>
      </c>
      <c r="Y104" s="75">
        <v>33</v>
      </c>
      <c r="Z104" s="76">
        <v>182.92</v>
      </c>
      <c r="AA104" s="75">
        <v>76</v>
      </c>
      <c r="AB104" s="76">
        <v>1188.73</v>
      </c>
      <c r="AC104" s="75">
        <v>33</v>
      </c>
      <c r="AD104" s="76">
        <v>278.54</v>
      </c>
      <c r="AE104" s="75">
        <v>22</v>
      </c>
      <c r="AF104" s="76">
        <v>214.4</v>
      </c>
      <c r="AG104" s="75">
        <v>35</v>
      </c>
      <c r="AH104" s="76">
        <v>400.34</v>
      </c>
      <c r="AI104" s="75">
        <v>11</v>
      </c>
      <c r="AJ104" s="76">
        <v>961.1300000000001</v>
      </c>
      <c r="AK104" s="75">
        <v>2087</v>
      </c>
      <c r="AL104" s="76">
        <v>4075.78</v>
      </c>
    </row>
    <row r="105" spans="1:38" ht="13.5">
      <c r="A105" s="32" t="s">
        <v>22</v>
      </c>
      <c r="B105" s="75">
        <v>1700</v>
      </c>
      <c r="C105" s="76">
        <v>440.47</v>
      </c>
      <c r="D105" s="75">
        <v>250</v>
      </c>
      <c r="E105" s="76">
        <v>530.63</v>
      </c>
      <c r="F105" s="75">
        <v>26</v>
      </c>
      <c r="G105" s="76">
        <v>152.2</v>
      </c>
      <c r="H105" s="75">
        <v>65</v>
      </c>
      <c r="I105" s="76">
        <v>1329.89</v>
      </c>
      <c r="J105" s="75">
        <v>33</v>
      </c>
      <c r="K105" s="76">
        <v>358.6</v>
      </c>
      <c r="L105" s="75">
        <v>20</v>
      </c>
      <c r="M105" s="76">
        <v>346.23</v>
      </c>
      <c r="N105" s="75">
        <v>39</v>
      </c>
      <c r="O105" s="76">
        <v>435.37</v>
      </c>
      <c r="P105" s="75">
        <v>7</v>
      </c>
      <c r="Q105" s="76">
        <v>627.7</v>
      </c>
      <c r="R105" s="75">
        <v>2140</v>
      </c>
      <c r="S105" s="76">
        <v>4221.09</v>
      </c>
      <c r="T105" s="32" t="s">
        <v>22</v>
      </c>
      <c r="U105" s="75">
        <v>1578</v>
      </c>
      <c r="V105" s="76">
        <v>385</v>
      </c>
      <c r="W105" s="75">
        <v>222</v>
      </c>
      <c r="X105" s="76">
        <v>388.2</v>
      </c>
      <c r="Y105" s="75">
        <v>26</v>
      </c>
      <c r="Z105" s="76">
        <v>142.6</v>
      </c>
      <c r="AA105" s="75">
        <v>63</v>
      </c>
      <c r="AB105" s="76">
        <v>953.41</v>
      </c>
      <c r="AC105" s="75">
        <v>31</v>
      </c>
      <c r="AD105" s="76">
        <v>228.94</v>
      </c>
      <c r="AE105" s="75">
        <v>19</v>
      </c>
      <c r="AF105" s="76">
        <v>179.6</v>
      </c>
      <c r="AG105" s="75">
        <v>32</v>
      </c>
      <c r="AH105" s="76">
        <v>341.4</v>
      </c>
      <c r="AI105" s="75">
        <v>7</v>
      </c>
      <c r="AJ105" s="76">
        <v>440.6</v>
      </c>
      <c r="AK105" s="75">
        <v>1978</v>
      </c>
      <c r="AL105" s="76">
        <v>3059.75</v>
      </c>
    </row>
    <row r="106" spans="1:38" ht="13.5">
      <c r="A106" s="32" t="s">
        <v>23</v>
      </c>
      <c r="B106" s="75">
        <v>49</v>
      </c>
      <c r="C106" s="76">
        <v>13.04</v>
      </c>
      <c r="D106" s="75">
        <v>23</v>
      </c>
      <c r="E106" s="76">
        <v>63.7</v>
      </c>
      <c r="F106" s="75">
        <v>6</v>
      </c>
      <c r="G106" s="76">
        <v>36.4</v>
      </c>
      <c r="H106" s="75">
        <v>9</v>
      </c>
      <c r="I106" s="76">
        <v>136.5</v>
      </c>
      <c r="J106" s="75">
        <v>1</v>
      </c>
      <c r="K106" s="76">
        <v>7.5</v>
      </c>
      <c r="L106" s="75">
        <v>2</v>
      </c>
      <c r="M106" s="76">
        <v>21.5</v>
      </c>
      <c r="N106" s="75">
        <v>2</v>
      </c>
      <c r="O106" s="76">
        <v>8.5</v>
      </c>
      <c r="P106" s="75">
        <v>3</v>
      </c>
      <c r="Q106" s="76">
        <v>311.4</v>
      </c>
      <c r="R106" s="75">
        <v>95</v>
      </c>
      <c r="S106" s="76">
        <v>598.54</v>
      </c>
      <c r="T106" s="32" t="s">
        <v>23</v>
      </c>
      <c r="U106" s="75">
        <v>43</v>
      </c>
      <c r="V106" s="76">
        <v>9.37</v>
      </c>
      <c r="W106" s="75">
        <v>22</v>
      </c>
      <c r="X106" s="76">
        <v>55.6</v>
      </c>
      <c r="Y106" s="75">
        <v>5</v>
      </c>
      <c r="Z106" s="76">
        <v>28.32</v>
      </c>
      <c r="AA106" s="75">
        <v>8</v>
      </c>
      <c r="AB106" s="76">
        <v>115.6</v>
      </c>
      <c r="AC106" s="75">
        <v>0</v>
      </c>
      <c r="AD106" s="76">
        <v>5</v>
      </c>
      <c r="AE106" s="75">
        <v>1</v>
      </c>
      <c r="AF106" s="76">
        <v>12.5</v>
      </c>
      <c r="AG106" s="75">
        <v>2</v>
      </c>
      <c r="AH106" s="76">
        <v>2.34</v>
      </c>
      <c r="AI106" s="75">
        <v>2</v>
      </c>
      <c r="AJ106" s="76">
        <v>144.83</v>
      </c>
      <c r="AK106" s="75">
        <v>83</v>
      </c>
      <c r="AL106" s="76">
        <v>373.56</v>
      </c>
    </row>
    <row r="107" spans="1:38" ht="13.5">
      <c r="A107" s="32" t="s">
        <v>24</v>
      </c>
      <c r="B107" s="75">
        <v>11</v>
      </c>
      <c r="C107" s="76">
        <v>3.8</v>
      </c>
      <c r="D107" s="75">
        <v>6</v>
      </c>
      <c r="E107" s="76">
        <v>14</v>
      </c>
      <c r="F107" s="75">
        <v>2</v>
      </c>
      <c r="G107" s="76">
        <v>12.3</v>
      </c>
      <c r="H107" s="75">
        <v>5</v>
      </c>
      <c r="I107" s="76">
        <v>137.6</v>
      </c>
      <c r="J107" s="75">
        <v>1</v>
      </c>
      <c r="K107" s="76">
        <v>60.6</v>
      </c>
      <c r="L107" s="75">
        <v>3</v>
      </c>
      <c r="M107" s="76">
        <v>48.4</v>
      </c>
      <c r="N107" s="75">
        <v>1</v>
      </c>
      <c r="O107" s="76">
        <v>60.2</v>
      </c>
      <c r="P107" s="75">
        <v>2</v>
      </c>
      <c r="Q107" s="76">
        <v>410.3</v>
      </c>
      <c r="R107" s="75">
        <v>31</v>
      </c>
      <c r="S107" s="76">
        <v>747.2</v>
      </c>
      <c r="T107" s="32" t="s">
        <v>24</v>
      </c>
      <c r="U107" s="75">
        <v>8</v>
      </c>
      <c r="V107" s="76">
        <v>2.35</v>
      </c>
      <c r="W107" s="75">
        <v>4</v>
      </c>
      <c r="X107" s="76">
        <v>9.2</v>
      </c>
      <c r="Y107" s="75">
        <v>2</v>
      </c>
      <c r="Z107" s="76">
        <v>12</v>
      </c>
      <c r="AA107" s="75">
        <v>5</v>
      </c>
      <c r="AB107" s="76">
        <v>119.72</v>
      </c>
      <c r="AC107" s="75">
        <v>2</v>
      </c>
      <c r="AD107" s="76">
        <v>44.6</v>
      </c>
      <c r="AE107" s="75">
        <v>2</v>
      </c>
      <c r="AF107" s="76">
        <v>22.3</v>
      </c>
      <c r="AG107" s="75">
        <v>1</v>
      </c>
      <c r="AH107" s="76">
        <v>56.6</v>
      </c>
      <c r="AI107" s="75">
        <v>2</v>
      </c>
      <c r="AJ107" s="76">
        <v>375.7</v>
      </c>
      <c r="AK107" s="75">
        <v>26</v>
      </c>
      <c r="AL107" s="76">
        <v>642.47</v>
      </c>
    </row>
    <row r="108" spans="1:38" ht="13.5">
      <c r="A108" s="32" t="s">
        <v>38</v>
      </c>
      <c r="B108" s="75">
        <v>1941</v>
      </c>
      <c r="C108" s="76">
        <v>436.04999999999995</v>
      </c>
      <c r="D108" s="75">
        <v>228</v>
      </c>
      <c r="E108" s="76">
        <v>391.7</v>
      </c>
      <c r="F108" s="75">
        <v>54</v>
      </c>
      <c r="G108" s="76">
        <v>272.5</v>
      </c>
      <c r="H108" s="75">
        <v>40</v>
      </c>
      <c r="I108" s="76">
        <v>722.9000000000001</v>
      </c>
      <c r="J108" s="75">
        <v>28</v>
      </c>
      <c r="K108" s="76">
        <v>440.7</v>
      </c>
      <c r="L108" s="75">
        <v>38</v>
      </c>
      <c r="M108" s="76">
        <v>739.7</v>
      </c>
      <c r="N108" s="75">
        <v>16</v>
      </c>
      <c r="O108" s="76">
        <v>67.2</v>
      </c>
      <c r="P108" s="75">
        <v>11</v>
      </c>
      <c r="Q108" s="76">
        <v>799.1</v>
      </c>
      <c r="R108" s="75">
        <v>2356</v>
      </c>
      <c r="S108" s="76">
        <v>3869.85</v>
      </c>
      <c r="T108" s="32" t="s">
        <v>38</v>
      </c>
      <c r="U108" s="75">
        <v>1897</v>
      </c>
      <c r="V108" s="76">
        <v>422.78000000000003</v>
      </c>
      <c r="W108" s="75">
        <v>220</v>
      </c>
      <c r="X108" s="76">
        <v>369.6</v>
      </c>
      <c r="Y108" s="75">
        <v>54</v>
      </c>
      <c r="Z108" s="76">
        <v>255.8</v>
      </c>
      <c r="AA108" s="75">
        <v>38</v>
      </c>
      <c r="AB108" s="76">
        <v>554.1</v>
      </c>
      <c r="AC108" s="75">
        <v>27</v>
      </c>
      <c r="AD108" s="76">
        <v>385.9</v>
      </c>
      <c r="AE108" s="75">
        <v>31</v>
      </c>
      <c r="AF108" s="76">
        <v>383.79999999999995</v>
      </c>
      <c r="AG108" s="75">
        <v>16</v>
      </c>
      <c r="AH108" s="76">
        <v>55.5</v>
      </c>
      <c r="AI108" s="75">
        <v>10</v>
      </c>
      <c r="AJ108" s="76">
        <v>479.20000000000005</v>
      </c>
      <c r="AK108" s="75">
        <v>2293</v>
      </c>
      <c r="AL108" s="76">
        <v>2909.08</v>
      </c>
    </row>
    <row r="109" spans="1:38" ht="13.5">
      <c r="A109" s="32" t="s">
        <v>22</v>
      </c>
      <c r="B109" s="75">
        <v>1714</v>
      </c>
      <c r="C109" s="76">
        <v>374.9</v>
      </c>
      <c r="D109" s="75">
        <v>175</v>
      </c>
      <c r="E109" s="76">
        <v>285.4</v>
      </c>
      <c r="F109" s="75">
        <v>33</v>
      </c>
      <c r="G109" s="76">
        <v>143.8</v>
      </c>
      <c r="H109" s="75">
        <v>17</v>
      </c>
      <c r="I109" s="76">
        <v>282.1</v>
      </c>
      <c r="J109" s="75">
        <v>18</v>
      </c>
      <c r="K109" s="76">
        <v>235.7</v>
      </c>
      <c r="L109" s="75">
        <v>11</v>
      </c>
      <c r="M109" s="76">
        <v>70</v>
      </c>
      <c r="N109" s="75">
        <v>7</v>
      </c>
      <c r="O109" s="76">
        <v>16.1</v>
      </c>
      <c r="P109" s="75">
        <v>0</v>
      </c>
      <c r="Q109" s="76">
        <v>0</v>
      </c>
      <c r="R109" s="75">
        <v>1975</v>
      </c>
      <c r="S109" s="76">
        <v>1408</v>
      </c>
      <c r="T109" s="32" t="s">
        <v>22</v>
      </c>
      <c r="U109" s="75">
        <v>1673</v>
      </c>
      <c r="V109" s="76">
        <v>363.16</v>
      </c>
      <c r="W109" s="75">
        <v>167</v>
      </c>
      <c r="X109" s="76">
        <v>263.7</v>
      </c>
      <c r="Y109" s="75">
        <v>33</v>
      </c>
      <c r="Z109" s="76">
        <v>134.8</v>
      </c>
      <c r="AA109" s="75">
        <v>16</v>
      </c>
      <c r="AB109" s="76">
        <v>250.8</v>
      </c>
      <c r="AC109" s="75">
        <v>18</v>
      </c>
      <c r="AD109" s="76">
        <v>223</v>
      </c>
      <c r="AE109" s="75">
        <v>9</v>
      </c>
      <c r="AF109" s="76">
        <v>41.8</v>
      </c>
      <c r="AG109" s="75">
        <v>7</v>
      </c>
      <c r="AH109" s="76">
        <v>12.4</v>
      </c>
      <c r="AI109" s="75">
        <v>0</v>
      </c>
      <c r="AJ109" s="76">
        <v>0</v>
      </c>
      <c r="AK109" s="75">
        <v>1923</v>
      </c>
      <c r="AL109" s="76">
        <v>1289.66</v>
      </c>
    </row>
    <row r="110" spans="1:38" ht="13.5">
      <c r="A110" s="32" t="s">
        <v>23</v>
      </c>
      <c r="B110" s="75">
        <v>205</v>
      </c>
      <c r="C110" s="76">
        <v>54.53</v>
      </c>
      <c r="D110" s="75">
        <v>40</v>
      </c>
      <c r="E110" s="76">
        <v>82.3</v>
      </c>
      <c r="F110" s="75">
        <v>7</v>
      </c>
      <c r="G110" s="76">
        <v>47</v>
      </c>
      <c r="H110" s="75">
        <v>5</v>
      </c>
      <c r="I110" s="76">
        <v>74</v>
      </c>
      <c r="J110" s="75">
        <v>2</v>
      </c>
      <c r="K110" s="76">
        <v>22.5</v>
      </c>
      <c r="L110" s="75">
        <v>6</v>
      </c>
      <c r="M110" s="76">
        <v>91</v>
      </c>
      <c r="N110" s="75">
        <v>3</v>
      </c>
      <c r="O110" s="76">
        <v>11.3</v>
      </c>
      <c r="P110" s="75">
        <v>1</v>
      </c>
      <c r="Q110" s="76">
        <v>64.7</v>
      </c>
      <c r="R110" s="75">
        <v>269</v>
      </c>
      <c r="S110" s="76">
        <v>447.33</v>
      </c>
      <c r="T110" s="32" t="s">
        <v>23</v>
      </c>
      <c r="U110" s="75">
        <v>202</v>
      </c>
      <c r="V110" s="76">
        <v>53.26</v>
      </c>
      <c r="W110" s="75">
        <v>40</v>
      </c>
      <c r="X110" s="76">
        <v>81.9</v>
      </c>
      <c r="Y110" s="75">
        <v>7</v>
      </c>
      <c r="Z110" s="76">
        <v>47</v>
      </c>
      <c r="AA110" s="75">
        <v>6</v>
      </c>
      <c r="AB110" s="76">
        <v>89.5</v>
      </c>
      <c r="AC110" s="75">
        <v>2</v>
      </c>
      <c r="AD110" s="76">
        <v>22.5</v>
      </c>
      <c r="AE110" s="75">
        <v>4</v>
      </c>
      <c r="AF110" s="76">
        <v>47.3</v>
      </c>
      <c r="AG110" s="75">
        <v>3</v>
      </c>
      <c r="AH110" s="76">
        <v>10.5</v>
      </c>
      <c r="AI110" s="75">
        <v>1</v>
      </c>
      <c r="AJ110" s="76">
        <v>64.6</v>
      </c>
      <c r="AK110" s="75">
        <v>265</v>
      </c>
      <c r="AL110" s="76">
        <v>416.56</v>
      </c>
    </row>
    <row r="111" spans="1:38" ht="13.5">
      <c r="A111" s="32" t="s">
        <v>24</v>
      </c>
      <c r="B111" s="75">
        <v>22</v>
      </c>
      <c r="C111" s="76">
        <v>6.62</v>
      </c>
      <c r="D111" s="75">
        <v>13</v>
      </c>
      <c r="E111" s="76">
        <v>24</v>
      </c>
      <c r="F111" s="75">
        <v>14</v>
      </c>
      <c r="G111" s="76">
        <v>81.7</v>
      </c>
      <c r="H111" s="75">
        <v>18</v>
      </c>
      <c r="I111" s="76">
        <v>366.8</v>
      </c>
      <c r="J111" s="75">
        <v>8</v>
      </c>
      <c r="K111" s="76">
        <v>182.5</v>
      </c>
      <c r="L111" s="75">
        <v>21</v>
      </c>
      <c r="M111" s="76">
        <v>578.7</v>
      </c>
      <c r="N111" s="75">
        <v>6</v>
      </c>
      <c r="O111" s="76">
        <v>39.8</v>
      </c>
      <c r="P111" s="75">
        <v>10</v>
      </c>
      <c r="Q111" s="76">
        <v>734.4</v>
      </c>
      <c r="R111" s="75">
        <v>112</v>
      </c>
      <c r="S111" s="76">
        <v>2014.52</v>
      </c>
      <c r="T111" s="32" t="s">
        <v>24</v>
      </c>
      <c r="U111" s="75">
        <v>22</v>
      </c>
      <c r="V111" s="76">
        <v>6.36</v>
      </c>
      <c r="W111" s="75">
        <v>13</v>
      </c>
      <c r="X111" s="76">
        <v>24</v>
      </c>
      <c r="Y111" s="75">
        <v>14</v>
      </c>
      <c r="Z111" s="76">
        <v>74</v>
      </c>
      <c r="AA111" s="75">
        <v>16</v>
      </c>
      <c r="AB111" s="76">
        <v>213.8</v>
      </c>
      <c r="AC111" s="75">
        <v>7</v>
      </c>
      <c r="AD111" s="76">
        <v>140.4</v>
      </c>
      <c r="AE111" s="75">
        <v>18</v>
      </c>
      <c r="AF111" s="76">
        <v>294.7</v>
      </c>
      <c r="AG111" s="75">
        <v>6</v>
      </c>
      <c r="AH111" s="76">
        <v>32.6</v>
      </c>
      <c r="AI111" s="75">
        <v>9</v>
      </c>
      <c r="AJ111" s="76">
        <v>414.6</v>
      </c>
      <c r="AK111" s="75">
        <v>105</v>
      </c>
      <c r="AL111" s="76">
        <v>1202.86</v>
      </c>
    </row>
    <row r="112" spans="1:38" ht="13.5">
      <c r="A112" s="32" t="s">
        <v>39</v>
      </c>
      <c r="B112" s="75">
        <v>63</v>
      </c>
      <c r="C112" s="76">
        <v>19.39</v>
      </c>
      <c r="D112" s="75">
        <v>28</v>
      </c>
      <c r="E112" s="76">
        <v>52.1</v>
      </c>
      <c r="F112" s="75">
        <v>12</v>
      </c>
      <c r="G112" s="76">
        <v>63.2</v>
      </c>
      <c r="H112" s="75">
        <v>10</v>
      </c>
      <c r="I112" s="76">
        <v>141.1</v>
      </c>
      <c r="J112" s="75">
        <v>5</v>
      </c>
      <c r="K112" s="76">
        <v>133.9</v>
      </c>
      <c r="L112" s="75">
        <v>3</v>
      </c>
      <c r="M112" s="76">
        <v>45.6</v>
      </c>
      <c r="N112" s="75">
        <v>2</v>
      </c>
      <c r="O112" s="76">
        <v>1.1</v>
      </c>
      <c r="P112" s="75">
        <v>5</v>
      </c>
      <c r="Q112" s="76">
        <v>368.70000000000005</v>
      </c>
      <c r="R112" s="75">
        <v>128</v>
      </c>
      <c r="S112" s="76">
        <v>825.0899999999999</v>
      </c>
      <c r="T112" s="32" t="s">
        <v>39</v>
      </c>
      <c r="U112" s="75">
        <v>62</v>
      </c>
      <c r="V112" s="76">
        <v>18.439999999999998</v>
      </c>
      <c r="W112" s="75">
        <v>26</v>
      </c>
      <c r="X112" s="76">
        <v>46.9</v>
      </c>
      <c r="Y112" s="75">
        <v>11</v>
      </c>
      <c r="Z112" s="76">
        <v>57.1</v>
      </c>
      <c r="AA112" s="75">
        <v>10</v>
      </c>
      <c r="AB112" s="76">
        <v>139.7</v>
      </c>
      <c r="AC112" s="75">
        <v>5</v>
      </c>
      <c r="AD112" s="76">
        <v>121.1</v>
      </c>
      <c r="AE112" s="75">
        <v>3</v>
      </c>
      <c r="AF112" s="76">
        <v>45.6</v>
      </c>
      <c r="AG112" s="75">
        <v>2</v>
      </c>
      <c r="AH112" s="76">
        <v>1.1</v>
      </c>
      <c r="AI112" s="75">
        <v>5</v>
      </c>
      <c r="AJ112" s="76">
        <v>215.7</v>
      </c>
      <c r="AK112" s="75">
        <v>124</v>
      </c>
      <c r="AL112" s="76">
        <v>645.64</v>
      </c>
    </row>
    <row r="113" spans="1:38" ht="13.5">
      <c r="A113" s="32" t="s">
        <v>22</v>
      </c>
      <c r="B113" s="75">
        <v>25</v>
      </c>
      <c r="C113" s="76">
        <v>8.32</v>
      </c>
      <c r="D113" s="75">
        <v>8</v>
      </c>
      <c r="E113" s="76">
        <v>14</v>
      </c>
      <c r="F113" s="75">
        <v>3</v>
      </c>
      <c r="G113" s="76">
        <v>13.8</v>
      </c>
      <c r="H113" s="75">
        <v>0</v>
      </c>
      <c r="I113" s="76">
        <v>0</v>
      </c>
      <c r="J113" s="75">
        <v>2</v>
      </c>
      <c r="K113" s="76">
        <v>48.9</v>
      </c>
      <c r="L113" s="75">
        <v>1</v>
      </c>
      <c r="M113" s="76">
        <v>6.1</v>
      </c>
      <c r="N113" s="75">
        <v>2</v>
      </c>
      <c r="O113" s="76">
        <v>1.1</v>
      </c>
      <c r="P113" s="75">
        <v>0</v>
      </c>
      <c r="Q113" s="76">
        <v>0</v>
      </c>
      <c r="R113" s="75">
        <v>41</v>
      </c>
      <c r="S113" s="76">
        <v>92.22</v>
      </c>
      <c r="T113" s="32" t="s">
        <v>22</v>
      </c>
      <c r="U113" s="75">
        <v>25</v>
      </c>
      <c r="V113" s="76">
        <v>8.24</v>
      </c>
      <c r="W113" s="75">
        <v>7</v>
      </c>
      <c r="X113" s="76">
        <v>10.6</v>
      </c>
      <c r="Y113" s="75">
        <v>2</v>
      </c>
      <c r="Z113" s="76">
        <v>9.1</v>
      </c>
      <c r="AA113" s="75">
        <v>0</v>
      </c>
      <c r="AB113" s="76">
        <v>0</v>
      </c>
      <c r="AC113" s="75">
        <v>2</v>
      </c>
      <c r="AD113" s="76">
        <v>48.9</v>
      </c>
      <c r="AE113" s="75">
        <v>1</v>
      </c>
      <c r="AF113" s="76">
        <v>6.1</v>
      </c>
      <c r="AG113" s="75">
        <v>2</v>
      </c>
      <c r="AH113" s="76">
        <v>1.1</v>
      </c>
      <c r="AI113" s="75">
        <v>0</v>
      </c>
      <c r="AJ113" s="76">
        <v>0</v>
      </c>
      <c r="AK113" s="75">
        <v>39</v>
      </c>
      <c r="AL113" s="76">
        <v>84.04</v>
      </c>
    </row>
    <row r="114" spans="1:38" ht="13.5">
      <c r="A114" s="32" t="s">
        <v>23</v>
      </c>
      <c r="B114" s="75">
        <v>30</v>
      </c>
      <c r="C114" s="76">
        <v>8.24</v>
      </c>
      <c r="D114" s="75">
        <v>10</v>
      </c>
      <c r="E114" s="76">
        <v>19.1</v>
      </c>
      <c r="F114" s="75">
        <v>1</v>
      </c>
      <c r="G114" s="76">
        <v>4.4</v>
      </c>
      <c r="H114" s="75">
        <v>0</v>
      </c>
      <c r="I114" s="76">
        <v>0</v>
      </c>
      <c r="J114" s="75">
        <v>0</v>
      </c>
      <c r="K114" s="76">
        <v>0</v>
      </c>
      <c r="L114" s="75">
        <v>0</v>
      </c>
      <c r="M114" s="76">
        <v>0</v>
      </c>
      <c r="N114" s="75">
        <v>0</v>
      </c>
      <c r="O114" s="76">
        <v>0</v>
      </c>
      <c r="P114" s="75">
        <v>1</v>
      </c>
      <c r="Q114" s="76">
        <v>51.1</v>
      </c>
      <c r="R114" s="75">
        <v>42</v>
      </c>
      <c r="S114" s="76">
        <v>82.84</v>
      </c>
      <c r="T114" s="32" t="s">
        <v>23</v>
      </c>
      <c r="U114" s="75">
        <v>29</v>
      </c>
      <c r="V114" s="76">
        <v>7.37</v>
      </c>
      <c r="W114" s="75">
        <v>9</v>
      </c>
      <c r="X114" s="76">
        <v>17.3</v>
      </c>
      <c r="Y114" s="75">
        <v>1</v>
      </c>
      <c r="Z114" s="76">
        <v>4.4</v>
      </c>
      <c r="AA114" s="75">
        <v>0</v>
      </c>
      <c r="AB114" s="76">
        <v>0</v>
      </c>
      <c r="AC114" s="75">
        <v>0</v>
      </c>
      <c r="AD114" s="76">
        <v>0</v>
      </c>
      <c r="AE114" s="75">
        <v>0</v>
      </c>
      <c r="AF114" s="76">
        <v>0</v>
      </c>
      <c r="AG114" s="75">
        <v>0</v>
      </c>
      <c r="AH114" s="76">
        <v>0</v>
      </c>
      <c r="AI114" s="75">
        <v>1</v>
      </c>
      <c r="AJ114" s="76">
        <v>51.1</v>
      </c>
      <c r="AK114" s="75">
        <v>40</v>
      </c>
      <c r="AL114" s="76">
        <v>80.17</v>
      </c>
    </row>
    <row r="115" spans="1:38" ht="13.5">
      <c r="A115" s="32" t="s">
        <v>24</v>
      </c>
      <c r="B115" s="75">
        <v>8</v>
      </c>
      <c r="C115" s="76">
        <v>2.83</v>
      </c>
      <c r="D115" s="75">
        <v>10</v>
      </c>
      <c r="E115" s="76">
        <v>19</v>
      </c>
      <c r="F115" s="75">
        <v>8</v>
      </c>
      <c r="G115" s="76">
        <v>45</v>
      </c>
      <c r="H115" s="75">
        <v>10</v>
      </c>
      <c r="I115" s="76">
        <v>141.1</v>
      </c>
      <c r="J115" s="75">
        <v>3</v>
      </c>
      <c r="K115" s="76">
        <v>85</v>
      </c>
      <c r="L115" s="75">
        <v>2</v>
      </c>
      <c r="M115" s="76">
        <v>39.5</v>
      </c>
      <c r="N115" s="75">
        <v>0</v>
      </c>
      <c r="O115" s="76">
        <v>0</v>
      </c>
      <c r="P115" s="75">
        <v>4</v>
      </c>
      <c r="Q115" s="76">
        <v>317.6</v>
      </c>
      <c r="R115" s="75">
        <v>45</v>
      </c>
      <c r="S115" s="76">
        <v>650.03</v>
      </c>
      <c r="T115" s="32" t="s">
        <v>24</v>
      </c>
      <c r="U115" s="75">
        <v>8</v>
      </c>
      <c r="V115" s="76">
        <v>2.83</v>
      </c>
      <c r="W115" s="75">
        <v>10</v>
      </c>
      <c r="X115" s="76">
        <v>19</v>
      </c>
      <c r="Y115" s="75">
        <v>8</v>
      </c>
      <c r="Z115" s="76">
        <v>43.6</v>
      </c>
      <c r="AA115" s="75">
        <v>10</v>
      </c>
      <c r="AB115" s="76">
        <v>139.7</v>
      </c>
      <c r="AC115" s="75">
        <v>3</v>
      </c>
      <c r="AD115" s="76">
        <v>72.2</v>
      </c>
      <c r="AE115" s="75">
        <v>2</v>
      </c>
      <c r="AF115" s="76">
        <v>39.5</v>
      </c>
      <c r="AG115" s="75">
        <v>0</v>
      </c>
      <c r="AH115" s="76">
        <v>0</v>
      </c>
      <c r="AI115" s="75">
        <v>4</v>
      </c>
      <c r="AJ115" s="76">
        <v>164.6</v>
      </c>
      <c r="AK115" s="75">
        <v>45</v>
      </c>
      <c r="AL115" s="76">
        <v>481.43</v>
      </c>
    </row>
    <row r="116" spans="1:38" ht="13.5">
      <c r="A116" s="32" t="s">
        <v>40</v>
      </c>
      <c r="B116" s="75">
        <v>355</v>
      </c>
      <c r="C116" s="76">
        <v>84.05</v>
      </c>
      <c r="D116" s="75">
        <v>72</v>
      </c>
      <c r="E116" s="76">
        <v>140.8</v>
      </c>
      <c r="F116" s="75">
        <v>38</v>
      </c>
      <c r="G116" s="76">
        <v>230.7</v>
      </c>
      <c r="H116" s="75">
        <v>35</v>
      </c>
      <c r="I116" s="76">
        <v>918.7</v>
      </c>
      <c r="J116" s="75">
        <v>10</v>
      </c>
      <c r="K116" s="76">
        <v>246.2</v>
      </c>
      <c r="L116" s="75">
        <v>4</v>
      </c>
      <c r="M116" s="76">
        <v>223.3</v>
      </c>
      <c r="N116" s="75">
        <v>1</v>
      </c>
      <c r="O116" s="76">
        <v>18.4</v>
      </c>
      <c r="P116" s="75">
        <v>3</v>
      </c>
      <c r="Q116" s="76">
        <v>352.8</v>
      </c>
      <c r="R116" s="75">
        <v>518</v>
      </c>
      <c r="S116" s="76">
        <v>2211.6</v>
      </c>
      <c r="T116" s="32" t="s">
        <v>40</v>
      </c>
      <c r="U116" s="75">
        <v>329</v>
      </c>
      <c r="V116" s="76">
        <v>76</v>
      </c>
      <c r="W116" s="75">
        <v>65</v>
      </c>
      <c r="X116" s="76">
        <v>122.6</v>
      </c>
      <c r="Y116" s="75">
        <v>36</v>
      </c>
      <c r="Z116" s="76">
        <v>198</v>
      </c>
      <c r="AA116" s="75">
        <v>34</v>
      </c>
      <c r="AB116" s="76">
        <v>675.4</v>
      </c>
      <c r="AC116" s="75">
        <v>9</v>
      </c>
      <c r="AD116" s="76">
        <v>207.9</v>
      </c>
      <c r="AE116" s="75">
        <v>2</v>
      </c>
      <c r="AF116" s="76">
        <v>113.10000000000001</v>
      </c>
      <c r="AG116" s="75">
        <v>1</v>
      </c>
      <c r="AH116" s="76">
        <v>13.7</v>
      </c>
      <c r="AI116" s="75">
        <v>2</v>
      </c>
      <c r="AJ116" s="76">
        <v>204.1</v>
      </c>
      <c r="AK116" s="75">
        <v>478</v>
      </c>
      <c r="AL116" s="76">
        <v>1610.8</v>
      </c>
    </row>
    <row r="117" spans="1:38" ht="13.5">
      <c r="A117" s="32" t="s">
        <v>22</v>
      </c>
      <c r="B117" s="75">
        <v>181</v>
      </c>
      <c r="C117" s="76">
        <v>42.36</v>
      </c>
      <c r="D117" s="75">
        <v>35</v>
      </c>
      <c r="E117" s="76">
        <v>59.4</v>
      </c>
      <c r="F117" s="75">
        <v>12</v>
      </c>
      <c r="G117" s="76">
        <v>63.6</v>
      </c>
      <c r="H117" s="75">
        <v>9</v>
      </c>
      <c r="I117" s="76">
        <v>149.2</v>
      </c>
      <c r="J117" s="75">
        <v>2</v>
      </c>
      <c r="K117" s="76">
        <v>56.3</v>
      </c>
      <c r="L117" s="75">
        <v>0</v>
      </c>
      <c r="M117" s="76">
        <v>0</v>
      </c>
      <c r="N117" s="75">
        <v>0</v>
      </c>
      <c r="O117" s="76">
        <v>0</v>
      </c>
      <c r="P117" s="75">
        <v>0</v>
      </c>
      <c r="Q117" s="76">
        <v>0</v>
      </c>
      <c r="R117" s="75">
        <v>239</v>
      </c>
      <c r="S117" s="76">
        <v>370.91</v>
      </c>
      <c r="T117" s="32" t="s">
        <v>22</v>
      </c>
      <c r="U117" s="75">
        <v>167</v>
      </c>
      <c r="V117" s="76">
        <v>38.88</v>
      </c>
      <c r="W117" s="75">
        <v>30</v>
      </c>
      <c r="X117" s="76">
        <v>47.5</v>
      </c>
      <c r="Y117" s="75">
        <v>10</v>
      </c>
      <c r="Z117" s="76">
        <v>52.1</v>
      </c>
      <c r="AA117" s="75">
        <v>9</v>
      </c>
      <c r="AB117" s="76">
        <v>114</v>
      </c>
      <c r="AC117" s="75">
        <v>2</v>
      </c>
      <c r="AD117" s="76">
        <v>56</v>
      </c>
      <c r="AE117" s="75">
        <v>0</v>
      </c>
      <c r="AF117" s="76">
        <v>0</v>
      </c>
      <c r="AG117" s="75">
        <v>0</v>
      </c>
      <c r="AH117" s="76">
        <v>0</v>
      </c>
      <c r="AI117" s="75">
        <v>0</v>
      </c>
      <c r="AJ117" s="76">
        <v>0</v>
      </c>
      <c r="AK117" s="75">
        <v>218</v>
      </c>
      <c r="AL117" s="76">
        <v>308.48</v>
      </c>
    </row>
    <row r="118" spans="1:38" ht="13.5">
      <c r="A118" s="32" t="s">
        <v>23</v>
      </c>
      <c r="B118" s="75">
        <v>132</v>
      </c>
      <c r="C118" s="76">
        <v>31.7</v>
      </c>
      <c r="D118" s="75">
        <v>15</v>
      </c>
      <c r="E118" s="76">
        <v>30.8</v>
      </c>
      <c r="F118" s="75">
        <v>7</v>
      </c>
      <c r="G118" s="76">
        <v>36.9</v>
      </c>
      <c r="H118" s="75">
        <v>9</v>
      </c>
      <c r="I118" s="76">
        <v>301.5</v>
      </c>
      <c r="J118" s="75">
        <v>1</v>
      </c>
      <c r="K118" s="76">
        <v>30.7</v>
      </c>
      <c r="L118" s="75">
        <v>1</v>
      </c>
      <c r="M118" s="76">
        <v>137.8</v>
      </c>
      <c r="N118" s="75">
        <v>0</v>
      </c>
      <c r="O118" s="76">
        <v>0</v>
      </c>
      <c r="P118" s="75">
        <v>0</v>
      </c>
      <c r="Q118" s="76">
        <v>0</v>
      </c>
      <c r="R118" s="75">
        <v>165</v>
      </c>
      <c r="S118" s="76">
        <v>569.4</v>
      </c>
      <c r="T118" s="32" t="s">
        <v>23</v>
      </c>
      <c r="U118" s="75">
        <v>120</v>
      </c>
      <c r="V118" s="76">
        <v>27.22</v>
      </c>
      <c r="W118" s="75">
        <v>14</v>
      </c>
      <c r="X118" s="76">
        <v>27.7</v>
      </c>
      <c r="Y118" s="75">
        <v>7</v>
      </c>
      <c r="Z118" s="76">
        <v>30.7</v>
      </c>
      <c r="AA118" s="75">
        <v>8</v>
      </c>
      <c r="AB118" s="76">
        <v>181.5</v>
      </c>
      <c r="AC118" s="75">
        <v>0</v>
      </c>
      <c r="AD118" s="76">
        <v>0</v>
      </c>
      <c r="AE118" s="75">
        <v>1</v>
      </c>
      <c r="AF118" s="76">
        <v>99.4</v>
      </c>
      <c r="AG118" s="75">
        <v>0</v>
      </c>
      <c r="AH118" s="76">
        <v>0</v>
      </c>
      <c r="AI118" s="75">
        <v>0</v>
      </c>
      <c r="AJ118" s="76">
        <v>0</v>
      </c>
      <c r="AK118" s="75">
        <v>150</v>
      </c>
      <c r="AL118" s="76">
        <v>366.52</v>
      </c>
    </row>
    <row r="119" spans="1:38" ht="13.5">
      <c r="A119" s="32" t="s">
        <v>24</v>
      </c>
      <c r="B119" s="75">
        <v>42</v>
      </c>
      <c r="C119" s="76">
        <v>9.99</v>
      </c>
      <c r="D119" s="75">
        <v>22</v>
      </c>
      <c r="E119" s="76">
        <v>50.6</v>
      </c>
      <c r="F119" s="75">
        <v>19</v>
      </c>
      <c r="G119" s="76">
        <v>130.2</v>
      </c>
      <c r="H119" s="75">
        <v>17</v>
      </c>
      <c r="I119" s="76">
        <v>468</v>
      </c>
      <c r="J119" s="75">
        <v>7</v>
      </c>
      <c r="K119" s="76">
        <v>159.2</v>
      </c>
      <c r="L119" s="75">
        <v>3</v>
      </c>
      <c r="M119" s="76">
        <v>85.5</v>
      </c>
      <c r="N119" s="75">
        <v>1</v>
      </c>
      <c r="O119" s="76">
        <v>18.4</v>
      </c>
      <c r="P119" s="75">
        <v>3</v>
      </c>
      <c r="Q119" s="76">
        <v>352.8</v>
      </c>
      <c r="R119" s="75">
        <v>114</v>
      </c>
      <c r="S119" s="76">
        <v>1271.29</v>
      </c>
      <c r="T119" s="32" t="s">
        <v>24</v>
      </c>
      <c r="U119" s="75">
        <v>42</v>
      </c>
      <c r="V119" s="76">
        <v>9.9</v>
      </c>
      <c r="W119" s="75">
        <v>21</v>
      </c>
      <c r="X119" s="76">
        <v>47.4</v>
      </c>
      <c r="Y119" s="75">
        <v>19</v>
      </c>
      <c r="Z119" s="76">
        <v>115.2</v>
      </c>
      <c r="AA119" s="75">
        <v>17</v>
      </c>
      <c r="AB119" s="76">
        <v>379.9</v>
      </c>
      <c r="AC119" s="75">
        <v>7</v>
      </c>
      <c r="AD119" s="76">
        <v>151.9</v>
      </c>
      <c r="AE119" s="75">
        <v>1</v>
      </c>
      <c r="AF119" s="76">
        <v>13.7</v>
      </c>
      <c r="AG119" s="75">
        <v>1</v>
      </c>
      <c r="AH119" s="76">
        <v>13.7</v>
      </c>
      <c r="AI119" s="75">
        <v>2</v>
      </c>
      <c r="AJ119" s="76">
        <v>204.1</v>
      </c>
      <c r="AK119" s="75">
        <v>110</v>
      </c>
      <c r="AL119" s="76">
        <v>935.8</v>
      </c>
    </row>
    <row r="120" spans="1:38" ht="13.5">
      <c r="A120" s="32"/>
      <c r="B120" s="19"/>
      <c r="C120" s="20"/>
      <c r="D120" s="19"/>
      <c r="E120" s="20"/>
      <c r="F120" s="19"/>
      <c r="G120" s="20"/>
      <c r="H120" s="19"/>
      <c r="I120" s="20"/>
      <c r="J120" s="19"/>
      <c r="K120" s="20"/>
      <c r="L120" s="19"/>
      <c r="M120" s="20"/>
      <c r="N120" s="19"/>
      <c r="O120" s="20"/>
      <c r="P120" s="19"/>
      <c r="Q120" s="20"/>
      <c r="R120" s="19"/>
      <c r="S120" s="20"/>
      <c r="T120" s="32"/>
      <c r="U120" s="19"/>
      <c r="V120" s="20"/>
      <c r="W120" s="19"/>
      <c r="X120" s="20"/>
      <c r="Y120" s="19"/>
      <c r="Z120" s="20"/>
      <c r="AA120" s="19"/>
      <c r="AB120" s="20"/>
      <c r="AC120" s="19"/>
      <c r="AD120" s="20"/>
      <c r="AE120" s="19"/>
      <c r="AF120" s="20"/>
      <c r="AG120" s="19"/>
      <c r="AH120" s="20"/>
      <c r="AI120" s="19"/>
      <c r="AJ120" s="20"/>
      <c r="AK120" s="19"/>
      <c r="AL120" s="20"/>
    </row>
    <row r="121" spans="1:38" ht="13.5">
      <c r="A121" s="32" t="s">
        <v>41</v>
      </c>
      <c r="B121" s="75">
        <v>509</v>
      </c>
      <c r="C121" s="76">
        <v>123.50000000000001</v>
      </c>
      <c r="D121" s="75">
        <v>57</v>
      </c>
      <c r="E121" s="76">
        <v>83.6</v>
      </c>
      <c r="F121" s="75">
        <v>20</v>
      </c>
      <c r="G121" s="76">
        <v>106</v>
      </c>
      <c r="H121" s="75">
        <v>31</v>
      </c>
      <c r="I121" s="76">
        <v>961.9</v>
      </c>
      <c r="J121" s="75">
        <v>18</v>
      </c>
      <c r="K121" s="76">
        <v>268.70000000000005</v>
      </c>
      <c r="L121" s="75">
        <v>0</v>
      </c>
      <c r="M121" s="76">
        <v>0</v>
      </c>
      <c r="N121" s="75">
        <v>5</v>
      </c>
      <c r="O121" s="76">
        <v>37.9</v>
      </c>
      <c r="P121" s="75">
        <v>10</v>
      </c>
      <c r="Q121" s="76">
        <v>932.5</v>
      </c>
      <c r="R121" s="75">
        <v>650</v>
      </c>
      <c r="S121" s="76">
        <v>2514.1</v>
      </c>
      <c r="T121" s="32" t="s">
        <v>41</v>
      </c>
      <c r="U121" s="75">
        <v>461</v>
      </c>
      <c r="V121" s="76">
        <v>111.14</v>
      </c>
      <c r="W121" s="75">
        <v>54</v>
      </c>
      <c r="X121" s="76">
        <v>79.8</v>
      </c>
      <c r="Y121" s="75">
        <v>19</v>
      </c>
      <c r="Z121" s="76">
        <v>98.5</v>
      </c>
      <c r="AA121" s="75">
        <v>30</v>
      </c>
      <c r="AB121" s="76">
        <v>794.2</v>
      </c>
      <c r="AC121" s="75">
        <v>18</v>
      </c>
      <c r="AD121" s="76">
        <v>212.5</v>
      </c>
      <c r="AE121" s="75">
        <v>0</v>
      </c>
      <c r="AF121" s="76">
        <v>0</v>
      </c>
      <c r="AG121" s="75">
        <v>5</v>
      </c>
      <c r="AH121" s="76">
        <v>36.8</v>
      </c>
      <c r="AI121" s="75">
        <v>10</v>
      </c>
      <c r="AJ121" s="76">
        <v>571.3000000000001</v>
      </c>
      <c r="AK121" s="75">
        <v>597</v>
      </c>
      <c r="AL121" s="76">
        <v>1904.24</v>
      </c>
    </row>
    <row r="122" spans="1:38" ht="13.5">
      <c r="A122" s="32" t="s">
        <v>22</v>
      </c>
      <c r="B122" s="75">
        <v>355</v>
      </c>
      <c r="C122" s="76">
        <v>87.23</v>
      </c>
      <c r="D122" s="75">
        <v>27</v>
      </c>
      <c r="E122" s="76">
        <v>40.5</v>
      </c>
      <c r="F122" s="75">
        <v>7</v>
      </c>
      <c r="G122" s="76">
        <v>33.9</v>
      </c>
      <c r="H122" s="75">
        <v>5</v>
      </c>
      <c r="I122" s="76">
        <v>143.7</v>
      </c>
      <c r="J122" s="75">
        <v>4</v>
      </c>
      <c r="K122" s="76">
        <v>32.3</v>
      </c>
      <c r="L122" s="75">
        <v>0</v>
      </c>
      <c r="M122" s="76">
        <v>0</v>
      </c>
      <c r="N122" s="75">
        <v>2</v>
      </c>
      <c r="O122" s="76">
        <v>1.3</v>
      </c>
      <c r="P122" s="75">
        <v>1</v>
      </c>
      <c r="Q122" s="76">
        <v>287.4</v>
      </c>
      <c r="R122" s="75">
        <v>401</v>
      </c>
      <c r="S122" s="76">
        <v>626.33</v>
      </c>
      <c r="T122" s="32" t="s">
        <v>22</v>
      </c>
      <c r="U122" s="75">
        <v>330</v>
      </c>
      <c r="V122" s="76">
        <v>80.84</v>
      </c>
      <c r="W122" s="75">
        <v>27</v>
      </c>
      <c r="X122" s="76">
        <v>40.4</v>
      </c>
      <c r="Y122" s="75">
        <v>7</v>
      </c>
      <c r="Z122" s="76">
        <v>33.9</v>
      </c>
      <c r="AA122" s="75">
        <v>5</v>
      </c>
      <c r="AB122" s="76">
        <v>137.9</v>
      </c>
      <c r="AC122" s="75">
        <v>4</v>
      </c>
      <c r="AD122" s="76">
        <v>32.3</v>
      </c>
      <c r="AE122" s="75">
        <v>0</v>
      </c>
      <c r="AF122" s="76">
        <v>0</v>
      </c>
      <c r="AG122" s="75">
        <v>2</v>
      </c>
      <c r="AH122" s="76">
        <v>0.7</v>
      </c>
      <c r="AI122" s="75">
        <v>1</v>
      </c>
      <c r="AJ122" s="76">
        <v>87.2</v>
      </c>
      <c r="AK122" s="75">
        <v>376</v>
      </c>
      <c r="AL122" s="76">
        <v>413.24</v>
      </c>
    </row>
    <row r="123" spans="1:38" ht="13.5">
      <c r="A123" s="32" t="s">
        <v>23</v>
      </c>
      <c r="B123" s="75">
        <v>133</v>
      </c>
      <c r="C123" s="76">
        <v>31.6</v>
      </c>
      <c r="D123" s="75">
        <v>24</v>
      </c>
      <c r="E123" s="76">
        <v>32</v>
      </c>
      <c r="F123" s="75">
        <v>5</v>
      </c>
      <c r="G123" s="76">
        <v>21.5</v>
      </c>
      <c r="H123" s="75">
        <v>5</v>
      </c>
      <c r="I123" s="76">
        <v>136.3</v>
      </c>
      <c r="J123" s="75">
        <v>1</v>
      </c>
      <c r="K123" s="76">
        <v>34.1</v>
      </c>
      <c r="L123" s="75">
        <v>0</v>
      </c>
      <c r="M123" s="76">
        <v>0</v>
      </c>
      <c r="N123" s="75">
        <v>2</v>
      </c>
      <c r="O123" s="76">
        <v>6.2</v>
      </c>
      <c r="P123" s="75">
        <v>0</v>
      </c>
      <c r="Q123" s="76">
        <v>0</v>
      </c>
      <c r="R123" s="75">
        <v>170</v>
      </c>
      <c r="S123" s="76">
        <v>261.7</v>
      </c>
      <c r="T123" s="32" t="s">
        <v>23</v>
      </c>
      <c r="U123" s="75">
        <v>115</v>
      </c>
      <c r="V123" s="76">
        <v>27.06</v>
      </c>
      <c r="W123" s="75">
        <v>21</v>
      </c>
      <c r="X123" s="76">
        <v>28.7</v>
      </c>
      <c r="Y123" s="75">
        <v>5</v>
      </c>
      <c r="Z123" s="76">
        <v>21.5</v>
      </c>
      <c r="AA123" s="75">
        <v>5</v>
      </c>
      <c r="AB123" s="76">
        <v>117.9</v>
      </c>
      <c r="AC123" s="75">
        <v>1</v>
      </c>
      <c r="AD123" s="76">
        <v>7.7</v>
      </c>
      <c r="AE123" s="75">
        <v>0</v>
      </c>
      <c r="AF123" s="76">
        <v>0</v>
      </c>
      <c r="AG123" s="75">
        <v>2</v>
      </c>
      <c r="AH123" s="76">
        <v>5.7</v>
      </c>
      <c r="AI123" s="75">
        <v>0</v>
      </c>
      <c r="AJ123" s="76">
        <v>0</v>
      </c>
      <c r="AK123" s="75">
        <v>149</v>
      </c>
      <c r="AL123" s="76">
        <v>208.56</v>
      </c>
    </row>
    <row r="124" spans="1:38" ht="13.5">
      <c r="A124" s="32" t="s">
        <v>24</v>
      </c>
      <c r="B124" s="75">
        <v>21</v>
      </c>
      <c r="C124" s="76">
        <v>4.67</v>
      </c>
      <c r="D124" s="75">
        <v>6</v>
      </c>
      <c r="E124" s="76">
        <v>11.1</v>
      </c>
      <c r="F124" s="75">
        <v>8</v>
      </c>
      <c r="G124" s="76">
        <v>50.6</v>
      </c>
      <c r="H124" s="75">
        <v>21</v>
      </c>
      <c r="I124" s="76">
        <v>681.9</v>
      </c>
      <c r="J124" s="75">
        <v>13</v>
      </c>
      <c r="K124" s="76">
        <v>202.3</v>
      </c>
      <c r="L124" s="75">
        <v>0</v>
      </c>
      <c r="M124" s="76">
        <v>0</v>
      </c>
      <c r="N124" s="75">
        <v>1</v>
      </c>
      <c r="O124" s="76">
        <v>30.4</v>
      </c>
      <c r="P124" s="75">
        <v>9</v>
      </c>
      <c r="Q124" s="76">
        <v>645.1</v>
      </c>
      <c r="R124" s="75">
        <v>79</v>
      </c>
      <c r="S124" s="76">
        <v>1626.07</v>
      </c>
      <c r="T124" s="32" t="s">
        <v>24</v>
      </c>
      <c r="U124" s="75">
        <v>16</v>
      </c>
      <c r="V124" s="76">
        <v>3.24</v>
      </c>
      <c r="W124" s="75">
        <v>6</v>
      </c>
      <c r="X124" s="76">
        <v>10.7</v>
      </c>
      <c r="Y124" s="75">
        <v>7</v>
      </c>
      <c r="Z124" s="76">
        <v>43.1</v>
      </c>
      <c r="AA124" s="75">
        <v>20</v>
      </c>
      <c r="AB124" s="76">
        <v>538.4</v>
      </c>
      <c r="AC124" s="75">
        <v>13</v>
      </c>
      <c r="AD124" s="76">
        <v>172.5</v>
      </c>
      <c r="AE124" s="75">
        <v>0</v>
      </c>
      <c r="AF124" s="76">
        <v>0</v>
      </c>
      <c r="AG124" s="75">
        <v>1</v>
      </c>
      <c r="AH124" s="76">
        <v>30.4</v>
      </c>
      <c r="AI124" s="75">
        <v>9</v>
      </c>
      <c r="AJ124" s="76">
        <v>484.1</v>
      </c>
      <c r="AK124" s="75">
        <v>72</v>
      </c>
      <c r="AL124" s="76">
        <v>1282.44</v>
      </c>
    </row>
    <row r="125" spans="1:38" ht="13.5">
      <c r="A125" s="32" t="s">
        <v>42</v>
      </c>
      <c r="B125" s="75">
        <v>244</v>
      </c>
      <c r="C125" s="76">
        <v>55.43</v>
      </c>
      <c r="D125" s="75">
        <v>39</v>
      </c>
      <c r="E125" s="76">
        <v>82.84</v>
      </c>
      <c r="F125" s="75">
        <v>20</v>
      </c>
      <c r="G125" s="76">
        <v>102.60000000000001</v>
      </c>
      <c r="H125" s="75">
        <v>23</v>
      </c>
      <c r="I125" s="76">
        <v>1081.8799999999999</v>
      </c>
      <c r="J125" s="75">
        <v>14</v>
      </c>
      <c r="K125" s="76">
        <v>305.8</v>
      </c>
      <c r="L125" s="75">
        <v>6</v>
      </c>
      <c r="M125" s="76">
        <v>51.7</v>
      </c>
      <c r="N125" s="75">
        <v>3</v>
      </c>
      <c r="O125" s="76">
        <v>7.3999999999999995</v>
      </c>
      <c r="P125" s="75">
        <v>1</v>
      </c>
      <c r="Q125" s="76">
        <v>118.1</v>
      </c>
      <c r="R125" s="75">
        <v>350</v>
      </c>
      <c r="S125" s="76">
        <v>1805.65</v>
      </c>
      <c r="T125" s="32" t="s">
        <v>42</v>
      </c>
      <c r="U125" s="75">
        <v>232</v>
      </c>
      <c r="V125" s="76">
        <v>53.43</v>
      </c>
      <c r="W125" s="75">
        <v>31</v>
      </c>
      <c r="X125" s="76">
        <v>58.72</v>
      </c>
      <c r="Y125" s="75">
        <v>18</v>
      </c>
      <c r="Z125" s="76">
        <v>86.56</v>
      </c>
      <c r="AA125" s="75">
        <v>22</v>
      </c>
      <c r="AB125" s="76">
        <v>391.49</v>
      </c>
      <c r="AC125" s="75">
        <v>14</v>
      </c>
      <c r="AD125" s="76">
        <v>278.95</v>
      </c>
      <c r="AE125" s="75">
        <v>5</v>
      </c>
      <c r="AF125" s="76">
        <v>49.2</v>
      </c>
      <c r="AG125" s="75">
        <v>3</v>
      </c>
      <c r="AH125" s="76">
        <v>6.8</v>
      </c>
      <c r="AI125" s="75">
        <v>1</v>
      </c>
      <c r="AJ125" s="76">
        <v>95.9</v>
      </c>
      <c r="AK125" s="75">
        <v>326</v>
      </c>
      <c r="AL125" s="76">
        <v>1020.9499999999999</v>
      </c>
    </row>
    <row r="126" spans="1:38" ht="13.5">
      <c r="A126" s="32" t="s">
        <v>22</v>
      </c>
      <c r="B126" s="75">
        <v>151</v>
      </c>
      <c r="C126" s="76">
        <v>31.61</v>
      </c>
      <c r="D126" s="75">
        <v>23</v>
      </c>
      <c r="E126" s="76">
        <v>45.64</v>
      </c>
      <c r="F126" s="75">
        <v>5</v>
      </c>
      <c r="G126" s="76">
        <v>26.2</v>
      </c>
      <c r="H126" s="75">
        <v>5</v>
      </c>
      <c r="I126" s="76">
        <v>68.78</v>
      </c>
      <c r="J126" s="75">
        <v>4</v>
      </c>
      <c r="K126" s="76">
        <v>85</v>
      </c>
      <c r="L126" s="75">
        <v>4</v>
      </c>
      <c r="M126" s="76">
        <v>26.5</v>
      </c>
      <c r="N126" s="75">
        <v>1</v>
      </c>
      <c r="O126" s="76">
        <v>1.7</v>
      </c>
      <c r="P126" s="75">
        <v>0</v>
      </c>
      <c r="Q126" s="76">
        <v>0</v>
      </c>
      <c r="R126" s="75">
        <v>193</v>
      </c>
      <c r="S126" s="76">
        <v>285.43</v>
      </c>
      <c r="T126" s="32" t="s">
        <v>22</v>
      </c>
      <c r="U126" s="75">
        <v>143</v>
      </c>
      <c r="V126" s="76">
        <v>30.1</v>
      </c>
      <c r="W126" s="75">
        <v>19</v>
      </c>
      <c r="X126" s="76">
        <v>31.22</v>
      </c>
      <c r="Y126" s="75">
        <v>5</v>
      </c>
      <c r="Z126" s="76">
        <v>20</v>
      </c>
      <c r="AA126" s="75">
        <v>5</v>
      </c>
      <c r="AB126" s="76">
        <v>55.27</v>
      </c>
      <c r="AC126" s="75">
        <v>4</v>
      </c>
      <c r="AD126" s="76">
        <v>82.8</v>
      </c>
      <c r="AE126" s="75">
        <v>3</v>
      </c>
      <c r="AF126" s="76">
        <v>24</v>
      </c>
      <c r="AG126" s="75">
        <v>1</v>
      </c>
      <c r="AH126" s="76">
        <v>1.58</v>
      </c>
      <c r="AI126" s="75">
        <v>0</v>
      </c>
      <c r="AJ126" s="76">
        <v>0</v>
      </c>
      <c r="AK126" s="75">
        <v>180</v>
      </c>
      <c r="AL126" s="76">
        <v>244.97</v>
      </c>
    </row>
    <row r="127" spans="1:38" ht="13.5">
      <c r="A127" s="32" t="s">
        <v>23</v>
      </c>
      <c r="B127" s="75">
        <v>63</v>
      </c>
      <c r="C127" s="76">
        <v>15.69</v>
      </c>
      <c r="D127" s="75">
        <v>10</v>
      </c>
      <c r="E127" s="76">
        <v>22.6</v>
      </c>
      <c r="F127" s="75">
        <v>7</v>
      </c>
      <c r="G127" s="76">
        <v>36.2</v>
      </c>
      <c r="H127" s="75">
        <v>5</v>
      </c>
      <c r="I127" s="76">
        <v>157.3</v>
      </c>
      <c r="J127" s="75">
        <v>1</v>
      </c>
      <c r="K127" s="76">
        <v>30.8</v>
      </c>
      <c r="L127" s="75">
        <v>0</v>
      </c>
      <c r="M127" s="76">
        <v>0</v>
      </c>
      <c r="N127" s="75">
        <v>1</v>
      </c>
      <c r="O127" s="76">
        <v>0.6</v>
      </c>
      <c r="P127" s="75">
        <v>0</v>
      </c>
      <c r="Q127" s="76">
        <v>0</v>
      </c>
      <c r="R127" s="75">
        <v>87</v>
      </c>
      <c r="S127" s="76">
        <v>263.16</v>
      </c>
      <c r="T127" s="32" t="s">
        <v>23</v>
      </c>
      <c r="U127" s="75">
        <v>60</v>
      </c>
      <c r="V127" s="76">
        <v>15.44</v>
      </c>
      <c r="W127" s="75">
        <v>7</v>
      </c>
      <c r="X127" s="76">
        <v>16.3</v>
      </c>
      <c r="Y127" s="75">
        <v>6</v>
      </c>
      <c r="Z127" s="76">
        <v>29.43</v>
      </c>
      <c r="AA127" s="75">
        <v>4</v>
      </c>
      <c r="AB127" s="76">
        <v>46</v>
      </c>
      <c r="AC127" s="75">
        <v>1</v>
      </c>
      <c r="AD127" s="76">
        <v>28.4</v>
      </c>
      <c r="AE127" s="75">
        <v>0</v>
      </c>
      <c r="AF127" s="76">
        <v>0</v>
      </c>
      <c r="AG127" s="75">
        <v>1</v>
      </c>
      <c r="AH127" s="76">
        <v>0.12</v>
      </c>
      <c r="AI127" s="75">
        <v>0</v>
      </c>
      <c r="AJ127" s="76">
        <v>0</v>
      </c>
      <c r="AK127" s="75">
        <v>79</v>
      </c>
      <c r="AL127" s="76">
        <v>135.69</v>
      </c>
    </row>
    <row r="128" spans="1:38" ht="13.5">
      <c r="A128" s="32" t="s">
        <v>24</v>
      </c>
      <c r="B128" s="75">
        <v>30</v>
      </c>
      <c r="C128" s="76">
        <v>8.13</v>
      </c>
      <c r="D128" s="75">
        <v>6</v>
      </c>
      <c r="E128" s="76">
        <v>14.6</v>
      </c>
      <c r="F128" s="75">
        <v>8</v>
      </c>
      <c r="G128" s="76">
        <v>40.2</v>
      </c>
      <c r="H128" s="75">
        <v>13</v>
      </c>
      <c r="I128" s="76">
        <v>855.8</v>
      </c>
      <c r="J128" s="75">
        <v>9</v>
      </c>
      <c r="K128" s="76">
        <v>190</v>
      </c>
      <c r="L128" s="75">
        <v>2</v>
      </c>
      <c r="M128" s="76">
        <v>25.2</v>
      </c>
      <c r="N128" s="75">
        <v>1</v>
      </c>
      <c r="O128" s="76">
        <v>5.1</v>
      </c>
      <c r="P128" s="75">
        <v>1</v>
      </c>
      <c r="Q128" s="76">
        <v>118.1</v>
      </c>
      <c r="R128" s="75">
        <v>70</v>
      </c>
      <c r="S128" s="76">
        <v>1257.06</v>
      </c>
      <c r="T128" s="32" t="s">
        <v>24</v>
      </c>
      <c r="U128" s="75">
        <v>29</v>
      </c>
      <c r="V128" s="76">
        <v>7.89</v>
      </c>
      <c r="W128" s="75">
        <v>5</v>
      </c>
      <c r="X128" s="76">
        <v>11.2</v>
      </c>
      <c r="Y128" s="75">
        <v>7</v>
      </c>
      <c r="Z128" s="76">
        <v>37.13</v>
      </c>
      <c r="AA128" s="75">
        <v>13</v>
      </c>
      <c r="AB128" s="76">
        <v>290.22</v>
      </c>
      <c r="AC128" s="75">
        <v>9</v>
      </c>
      <c r="AD128" s="76">
        <v>167.75</v>
      </c>
      <c r="AE128" s="75">
        <v>2</v>
      </c>
      <c r="AF128" s="76">
        <v>25.2</v>
      </c>
      <c r="AG128" s="75">
        <v>1</v>
      </c>
      <c r="AH128" s="76">
        <v>5.1</v>
      </c>
      <c r="AI128" s="75">
        <v>1</v>
      </c>
      <c r="AJ128" s="76">
        <v>95.9</v>
      </c>
      <c r="AK128" s="75">
        <v>67</v>
      </c>
      <c r="AL128" s="76">
        <v>640.29</v>
      </c>
    </row>
    <row r="129" spans="1:38" ht="13.5">
      <c r="A129" s="32" t="s">
        <v>43</v>
      </c>
      <c r="B129" s="75">
        <v>383</v>
      </c>
      <c r="C129" s="76">
        <v>101.96</v>
      </c>
      <c r="D129" s="75">
        <v>41</v>
      </c>
      <c r="E129" s="76">
        <v>70.56</v>
      </c>
      <c r="F129" s="75">
        <v>14</v>
      </c>
      <c r="G129" s="76">
        <v>62.9</v>
      </c>
      <c r="H129" s="75">
        <v>22</v>
      </c>
      <c r="I129" s="76">
        <v>549.2</v>
      </c>
      <c r="J129" s="75">
        <v>15</v>
      </c>
      <c r="K129" s="76">
        <v>338.7</v>
      </c>
      <c r="L129" s="75">
        <v>4</v>
      </c>
      <c r="M129" s="76">
        <v>32.9</v>
      </c>
      <c r="N129" s="75">
        <v>5</v>
      </c>
      <c r="O129" s="76">
        <v>67.2</v>
      </c>
      <c r="P129" s="75">
        <v>4</v>
      </c>
      <c r="Q129" s="76">
        <v>433.2</v>
      </c>
      <c r="R129" s="75">
        <v>488</v>
      </c>
      <c r="S129" s="76">
        <v>1656.62</v>
      </c>
      <c r="T129" s="32" t="s">
        <v>43</v>
      </c>
      <c r="U129" s="75">
        <v>375</v>
      </c>
      <c r="V129" s="76">
        <v>97.8</v>
      </c>
      <c r="W129" s="75">
        <v>36</v>
      </c>
      <c r="X129" s="76">
        <v>57.76</v>
      </c>
      <c r="Y129" s="75">
        <v>12</v>
      </c>
      <c r="Z129" s="76">
        <v>57.5</v>
      </c>
      <c r="AA129" s="75">
        <v>21</v>
      </c>
      <c r="AB129" s="76">
        <v>400.2</v>
      </c>
      <c r="AC129" s="75">
        <v>15</v>
      </c>
      <c r="AD129" s="76">
        <v>251.20000000000002</v>
      </c>
      <c r="AE129" s="75">
        <v>3</v>
      </c>
      <c r="AF129" s="76">
        <v>21.4</v>
      </c>
      <c r="AG129" s="75">
        <v>3</v>
      </c>
      <c r="AH129" s="76">
        <v>49.5</v>
      </c>
      <c r="AI129" s="75">
        <v>4</v>
      </c>
      <c r="AJ129" s="76">
        <v>129.4</v>
      </c>
      <c r="AK129" s="75">
        <v>469</v>
      </c>
      <c r="AL129" s="76">
        <v>1064.76</v>
      </c>
    </row>
    <row r="130" spans="1:38" ht="13.5">
      <c r="A130" s="32" t="s">
        <v>22</v>
      </c>
      <c r="B130" s="75">
        <v>272</v>
      </c>
      <c r="C130" s="76">
        <v>72.13</v>
      </c>
      <c r="D130" s="75">
        <v>13</v>
      </c>
      <c r="E130" s="76">
        <v>20.7</v>
      </c>
      <c r="F130" s="75">
        <v>4</v>
      </c>
      <c r="G130" s="76">
        <v>19</v>
      </c>
      <c r="H130" s="75">
        <v>2</v>
      </c>
      <c r="I130" s="76">
        <v>36.8</v>
      </c>
      <c r="J130" s="75">
        <v>3</v>
      </c>
      <c r="K130" s="76">
        <v>42.8</v>
      </c>
      <c r="L130" s="75">
        <v>1</v>
      </c>
      <c r="M130" s="76">
        <v>7.9</v>
      </c>
      <c r="N130" s="75">
        <v>1</v>
      </c>
      <c r="O130" s="76">
        <v>11.1</v>
      </c>
      <c r="P130" s="75">
        <v>0</v>
      </c>
      <c r="Q130" s="76">
        <v>0</v>
      </c>
      <c r="R130" s="75">
        <v>296</v>
      </c>
      <c r="S130" s="76">
        <v>210.43</v>
      </c>
      <c r="T130" s="32" t="s">
        <v>22</v>
      </c>
      <c r="U130" s="75">
        <v>272</v>
      </c>
      <c r="V130" s="76">
        <v>71.4</v>
      </c>
      <c r="W130" s="75">
        <v>13</v>
      </c>
      <c r="X130" s="76">
        <v>20.3</v>
      </c>
      <c r="Y130" s="75">
        <v>4</v>
      </c>
      <c r="Z130" s="76">
        <v>18</v>
      </c>
      <c r="AA130" s="75">
        <v>2</v>
      </c>
      <c r="AB130" s="76">
        <v>30.7</v>
      </c>
      <c r="AC130" s="75">
        <v>3</v>
      </c>
      <c r="AD130" s="76">
        <v>41.2</v>
      </c>
      <c r="AE130" s="75">
        <v>1</v>
      </c>
      <c r="AF130" s="76">
        <v>7.9</v>
      </c>
      <c r="AG130" s="75">
        <v>1</v>
      </c>
      <c r="AH130" s="76">
        <v>11.4</v>
      </c>
      <c r="AI130" s="75">
        <v>0</v>
      </c>
      <c r="AJ130" s="76">
        <v>0</v>
      </c>
      <c r="AK130" s="75">
        <v>296</v>
      </c>
      <c r="AL130" s="76">
        <v>200.9</v>
      </c>
    </row>
    <row r="131" spans="1:38" ht="13.5">
      <c r="A131" s="32" t="s">
        <v>23</v>
      </c>
      <c r="B131" s="75">
        <v>61</v>
      </c>
      <c r="C131" s="76">
        <v>16.13</v>
      </c>
      <c r="D131" s="75">
        <v>16</v>
      </c>
      <c r="E131" s="76">
        <v>26.45</v>
      </c>
      <c r="F131" s="75">
        <v>4</v>
      </c>
      <c r="G131" s="76">
        <v>16.3</v>
      </c>
      <c r="H131" s="75">
        <v>3</v>
      </c>
      <c r="I131" s="76">
        <v>21.6</v>
      </c>
      <c r="J131" s="75">
        <v>1</v>
      </c>
      <c r="K131" s="76">
        <v>17.1</v>
      </c>
      <c r="L131" s="75">
        <v>0</v>
      </c>
      <c r="M131" s="76">
        <v>0</v>
      </c>
      <c r="N131" s="75">
        <v>2</v>
      </c>
      <c r="O131" s="76">
        <v>17.5</v>
      </c>
      <c r="P131" s="75">
        <v>1</v>
      </c>
      <c r="Q131" s="76">
        <v>50.4</v>
      </c>
      <c r="R131" s="75">
        <v>88</v>
      </c>
      <c r="S131" s="76">
        <v>165.48</v>
      </c>
      <c r="T131" s="32" t="s">
        <v>23</v>
      </c>
      <c r="U131" s="75">
        <v>61</v>
      </c>
      <c r="V131" s="76">
        <v>16.14</v>
      </c>
      <c r="W131" s="75">
        <v>14</v>
      </c>
      <c r="X131" s="76">
        <v>23.15</v>
      </c>
      <c r="Y131" s="75">
        <v>4</v>
      </c>
      <c r="Z131" s="76">
        <v>13.5</v>
      </c>
      <c r="AA131" s="75">
        <v>3</v>
      </c>
      <c r="AB131" s="76">
        <v>21.6</v>
      </c>
      <c r="AC131" s="75">
        <v>1</v>
      </c>
      <c r="AD131" s="76">
        <v>17.1</v>
      </c>
      <c r="AE131" s="75">
        <v>0</v>
      </c>
      <c r="AF131" s="76">
        <v>0</v>
      </c>
      <c r="AG131" s="75">
        <v>0</v>
      </c>
      <c r="AH131" s="76">
        <v>0</v>
      </c>
      <c r="AI131" s="75">
        <v>1</v>
      </c>
      <c r="AJ131" s="76">
        <v>47.1</v>
      </c>
      <c r="AK131" s="75">
        <v>84</v>
      </c>
      <c r="AL131" s="76">
        <v>138.59</v>
      </c>
    </row>
    <row r="132" spans="1:38" ht="13.5">
      <c r="A132" s="32" t="s">
        <v>24</v>
      </c>
      <c r="B132" s="75">
        <v>50</v>
      </c>
      <c r="C132" s="76">
        <v>13.7</v>
      </c>
      <c r="D132" s="75">
        <v>12</v>
      </c>
      <c r="E132" s="76">
        <v>23.41</v>
      </c>
      <c r="F132" s="75">
        <v>6</v>
      </c>
      <c r="G132" s="76">
        <v>27.6</v>
      </c>
      <c r="H132" s="75">
        <v>17</v>
      </c>
      <c r="I132" s="76">
        <v>490.8</v>
      </c>
      <c r="J132" s="75">
        <v>11</v>
      </c>
      <c r="K132" s="76">
        <v>278.8</v>
      </c>
      <c r="L132" s="75">
        <v>3</v>
      </c>
      <c r="M132" s="76">
        <v>25</v>
      </c>
      <c r="N132" s="75">
        <v>2</v>
      </c>
      <c r="O132" s="76">
        <v>38.6</v>
      </c>
      <c r="P132" s="75">
        <v>3</v>
      </c>
      <c r="Q132" s="76">
        <v>382.8</v>
      </c>
      <c r="R132" s="75">
        <v>104</v>
      </c>
      <c r="S132" s="76">
        <v>1280.71</v>
      </c>
      <c r="T132" s="32" t="s">
        <v>24</v>
      </c>
      <c r="U132" s="75">
        <v>42</v>
      </c>
      <c r="V132" s="76">
        <v>10.26</v>
      </c>
      <c r="W132" s="75">
        <v>9</v>
      </c>
      <c r="X132" s="76">
        <v>14.31</v>
      </c>
      <c r="Y132" s="75">
        <v>4</v>
      </c>
      <c r="Z132" s="76">
        <v>26</v>
      </c>
      <c r="AA132" s="75">
        <v>16</v>
      </c>
      <c r="AB132" s="76">
        <v>347.9</v>
      </c>
      <c r="AC132" s="75">
        <v>11</v>
      </c>
      <c r="AD132" s="76">
        <v>192.9</v>
      </c>
      <c r="AE132" s="75">
        <v>2</v>
      </c>
      <c r="AF132" s="76">
        <v>13.5</v>
      </c>
      <c r="AG132" s="75">
        <v>2</v>
      </c>
      <c r="AH132" s="76">
        <v>38.1</v>
      </c>
      <c r="AI132" s="75">
        <v>3</v>
      </c>
      <c r="AJ132" s="76">
        <v>82.3</v>
      </c>
      <c r="AK132" s="75">
        <v>89</v>
      </c>
      <c r="AL132" s="76">
        <v>725.27</v>
      </c>
    </row>
    <row r="133" spans="1:38" ht="13.5">
      <c r="A133" s="32"/>
      <c r="B133" s="19"/>
      <c r="C133" s="20"/>
      <c r="D133" s="19"/>
      <c r="E133" s="20"/>
      <c r="F133" s="19"/>
      <c r="G133" s="20"/>
      <c r="H133" s="19"/>
      <c r="I133" s="20"/>
      <c r="J133" s="19"/>
      <c r="K133" s="20"/>
      <c r="L133" s="19"/>
      <c r="M133" s="20"/>
      <c r="N133" s="19"/>
      <c r="O133" s="20"/>
      <c r="P133" s="19"/>
      <c r="Q133" s="20"/>
      <c r="R133" s="19"/>
      <c r="S133" s="20"/>
      <c r="T133" s="32"/>
      <c r="U133" s="19"/>
      <c r="V133" s="20"/>
      <c r="W133" s="19"/>
      <c r="X133" s="20"/>
      <c r="Y133" s="19"/>
      <c r="Z133" s="20"/>
      <c r="AA133" s="19"/>
      <c r="AB133" s="20"/>
      <c r="AC133" s="19"/>
      <c r="AD133" s="20"/>
      <c r="AE133" s="19"/>
      <c r="AF133" s="20"/>
      <c r="AG133" s="19"/>
      <c r="AH133" s="20"/>
      <c r="AI133" s="19"/>
      <c r="AJ133" s="20"/>
      <c r="AK133" s="19"/>
      <c r="AL133" s="20"/>
    </row>
    <row r="134" spans="1:38" ht="13.5">
      <c r="A134" s="32" t="s">
        <v>44</v>
      </c>
      <c r="B134" s="75">
        <v>515</v>
      </c>
      <c r="C134" s="76">
        <v>116.92</v>
      </c>
      <c r="D134" s="75">
        <v>55</v>
      </c>
      <c r="E134" s="76">
        <v>91.6</v>
      </c>
      <c r="F134" s="75">
        <v>28</v>
      </c>
      <c r="G134" s="76">
        <v>163.4</v>
      </c>
      <c r="H134" s="75">
        <v>13</v>
      </c>
      <c r="I134" s="76">
        <v>333</v>
      </c>
      <c r="J134" s="75">
        <v>14</v>
      </c>
      <c r="K134" s="76">
        <v>218.9</v>
      </c>
      <c r="L134" s="75">
        <v>5</v>
      </c>
      <c r="M134" s="76">
        <v>59.6</v>
      </c>
      <c r="N134" s="75">
        <v>3</v>
      </c>
      <c r="O134" s="76">
        <v>9.3</v>
      </c>
      <c r="P134" s="75">
        <v>4</v>
      </c>
      <c r="Q134" s="76">
        <v>418.9</v>
      </c>
      <c r="R134" s="75">
        <v>637</v>
      </c>
      <c r="S134" s="76">
        <v>1411.62</v>
      </c>
      <c r="T134" s="32" t="s">
        <v>44</v>
      </c>
      <c r="U134" s="75">
        <v>513</v>
      </c>
      <c r="V134" s="76">
        <v>115.34</v>
      </c>
      <c r="W134" s="75">
        <v>53</v>
      </c>
      <c r="X134" s="76">
        <v>86.3</v>
      </c>
      <c r="Y134" s="75">
        <v>28</v>
      </c>
      <c r="Z134" s="76">
        <v>133.5</v>
      </c>
      <c r="AA134" s="75">
        <v>13</v>
      </c>
      <c r="AB134" s="76">
        <v>280.9</v>
      </c>
      <c r="AC134" s="75">
        <v>13</v>
      </c>
      <c r="AD134" s="76">
        <v>178.39999999999998</v>
      </c>
      <c r="AE134" s="75">
        <v>4</v>
      </c>
      <c r="AF134" s="76">
        <v>28.2</v>
      </c>
      <c r="AG134" s="75">
        <v>2</v>
      </c>
      <c r="AH134" s="76">
        <v>3.4</v>
      </c>
      <c r="AI134" s="75">
        <v>4</v>
      </c>
      <c r="AJ134" s="76">
        <v>343.1</v>
      </c>
      <c r="AK134" s="75">
        <v>630</v>
      </c>
      <c r="AL134" s="76">
        <v>1169.24</v>
      </c>
    </row>
    <row r="135" spans="1:38" ht="13.5">
      <c r="A135" s="32" t="s">
        <v>22</v>
      </c>
      <c r="B135" s="75">
        <v>302</v>
      </c>
      <c r="C135" s="76">
        <v>66.2</v>
      </c>
      <c r="D135" s="75">
        <v>23</v>
      </c>
      <c r="E135" s="76">
        <v>37.3</v>
      </c>
      <c r="F135" s="75">
        <v>11</v>
      </c>
      <c r="G135" s="76">
        <v>71.6</v>
      </c>
      <c r="H135" s="75">
        <v>1</v>
      </c>
      <c r="I135" s="76">
        <v>16.7</v>
      </c>
      <c r="J135" s="75">
        <v>2</v>
      </c>
      <c r="K135" s="76">
        <v>26.5</v>
      </c>
      <c r="L135" s="75">
        <v>1</v>
      </c>
      <c r="M135" s="76">
        <v>0.2</v>
      </c>
      <c r="N135" s="75">
        <v>0</v>
      </c>
      <c r="O135" s="76">
        <v>0</v>
      </c>
      <c r="P135" s="75">
        <v>0</v>
      </c>
      <c r="Q135" s="76">
        <v>0</v>
      </c>
      <c r="R135" s="75">
        <v>340</v>
      </c>
      <c r="S135" s="76">
        <v>218.5</v>
      </c>
      <c r="T135" s="32" t="s">
        <v>22</v>
      </c>
      <c r="U135" s="75">
        <v>300</v>
      </c>
      <c r="V135" s="76">
        <v>64.74</v>
      </c>
      <c r="W135" s="75">
        <v>24</v>
      </c>
      <c r="X135" s="76">
        <v>39.6</v>
      </c>
      <c r="Y135" s="75">
        <v>11</v>
      </c>
      <c r="Z135" s="76">
        <v>43.7</v>
      </c>
      <c r="AA135" s="75">
        <v>1</v>
      </c>
      <c r="AB135" s="76">
        <v>10.7</v>
      </c>
      <c r="AC135" s="75">
        <v>2</v>
      </c>
      <c r="AD135" s="76">
        <v>24.4</v>
      </c>
      <c r="AE135" s="75">
        <v>1</v>
      </c>
      <c r="AF135" s="76">
        <v>0.2</v>
      </c>
      <c r="AG135" s="75">
        <v>0</v>
      </c>
      <c r="AH135" s="76">
        <v>0</v>
      </c>
      <c r="AI135" s="75">
        <v>0</v>
      </c>
      <c r="AJ135" s="76">
        <v>0</v>
      </c>
      <c r="AK135" s="75">
        <v>339</v>
      </c>
      <c r="AL135" s="76">
        <v>183.34</v>
      </c>
    </row>
    <row r="136" spans="1:38" ht="13.5">
      <c r="A136" s="32" t="s">
        <v>23</v>
      </c>
      <c r="B136" s="75">
        <v>183</v>
      </c>
      <c r="C136" s="76">
        <v>45.17</v>
      </c>
      <c r="D136" s="75">
        <v>28</v>
      </c>
      <c r="E136" s="76">
        <v>48.2</v>
      </c>
      <c r="F136" s="75">
        <v>7</v>
      </c>
      <c r="G136" s="76">
        <v>34.7</v>
      </c>
      <c r="H136" s="75">
        <v>3</v>
      </c>
      <c r="I136" s="76">
        <v>44.7</v>
      </c>
      <c r="J136" s="75">
        <v>0</v>
      </c>
      <c r="K136" s="76">
        <v>1.9</v>
      </c>
      <c r="L136" s="75">
        <v>0</v>
      </c>
      <c r="M136" s="76">
        <v>0.7</v>
      </c>
      <c r="N136" s="75">
        <v>0</v>
      </c>
      <c r="O136" s="76">
        <v>0</v>
      </c>
      <c r="P136" s="75">
        <v>0</v>
      </c>
      <c r="Q136" s="76">
        <v>0</v>
      </c>
      <c r="R136" s="75">
        <v>221</v>
      </c>
      <c r="S136" s="76">
        <v>175.37</v>
      </c>
      <c r="T136" s="32" t="s">
        <v>23</v>
      </c>
      <c r="U136" s="75">
        <v>183</v>
      </c>
      <c r="V136" s="76">
        <v>45.04</v>
      </c>
      <c r="W136" s="75">
        <v>25</v>
      </c>
      <c r="X136" s="76">
        <v>40.6</v>
      </c>
      <c r="Y136" s="75">
        <v>7</v>
      </c>
      <c r="Z136" s="76">
        <v>37.2</v>
      </c>
      <c r="AA136" s="75">
        <v>3</v>
      </c>
      <c r="AB136" s="76">
        <v>34.8</v>
      </c>
      <c r="AC136" s="75">
        <v>0</v>
      </c>
      <c r="AD136" s="76">
        <v>1.9</v>
      </c>
      <c r="AE136" s="75">
        <v>0</v>
      </c>
      <c r="AF136" s="76">
        <v>0</v>
      </c>
      <c r="AG136" s="75">
        <v>0</v>
      </c>
      <c r="AH136" s="76">
        <v>0</v>
      </c>
      <c r="AI136" s="75">
        <v>0</v>
      </c>
      <c r="AJ136" s="76">
        <v>0</v>
      </c>
      <c r="AK136" s="75">
        <v>218</v>
      </c>
      <c r="AL136" s="76">
        <v>159.54</v>
      </c>
    </row>
    <row r="137" spans="1:38" ht="13.5">
      <c r="A137" s="32" t="s">
        <v>24</v>
      </c>
      <c r="B137" s="75">
        <v>30</v>
      </c>
      <c r="C137" s="76">
        <v>5.55</v>
      </c>
      <c r="D137" s="75">
        <v>4</v>
      </c>
      <c r="E137" s="76">
        <v>6.1</v>
      </c>
      <c r="F137" s="75">
        <v>10</v>
      </c>
      <c r="G137" s="76">
        <v>57.1</v>
      </c>
      <c r="H137" s="75">
        <v>9</v>
      </c>
      <c r="I137" s="76">
        <v>271.6</v>
      </c>
      <c r="J137" s="75">
        <v>12</v>
      </c>
      <c r="K137" s="76">
        <v>190.5</v>
      </c>
      <c r="L137" s="75">
        <v>4</v>
      </c>
      <c r="M137" s="76">
        <v>58.7</v>
      </c>
      <c r="N137" s="75">
        <v>3</v>
      </c>
      <c r="O137" s="76">
        <v>9.3</v>
      </c>
      <c r="P137" s="75">
        <v>4</v>
      </c>
      <c r="Q137" s="76">
        <v>418.9</v>
      </c>
      <c r="R137" s="75">
        <v>76</v>
      </c>
      <c r="S137" s="76">
        <v>1017.75</v>
      </c>
      <c r="T137" s="32" t="s">
        <v>24</v>
      </c>
      <c r="U137" s="75">
        <v>30</v>
      </c>
      <c r="V137" s="76">
        <v>5.56</v>
      </c>
      <c r="W137" s="75">
        <v>4</v>
      </c>
      <c r="X137" s="76">
        <v>6.1</v>
      </c>
      <c r="Y137" s="75">
        <v>10</v>
      </c>
      <c r="Z137" s="76">
        <v>52.6</v>
      </c>
      <c r="AA137" s="75">
        <v>9</v>
      </c>
      <c r="AB137" s="76">
        <v>235.4</v>
      </c>
      <c r="AC137" s="75">
        <v>11</v>
      </c>
      <c r="AD137" s="76">
        <v>152.1</v>
      </c>
      <c r="AE137" s="75">
        <v>3</v>
      </c>
      <c r="AF137" s="76">
        <v>28</v>
      </c>
      <c r="AG137" s="75">
        <v>2</v>
      </c>
      <c r="AH137" s="76">
        <v>3.4</v>
      </c>
      <c r="AI137" s="75">
        <v>4</v>
      </c>
      <c r="AJ137" s="76">
        <v>343.1</v>
      </c>
      <c r="AK137" s="75">
        <v>73</v>
      </c>
      <c r="AL137" s="76">
        <v>826.36</v>
      </c>
    </row>
    <row r="138" spans="1:38" ht="13.5">
      <c r="A138" s="32" t="s">
        <v>45</v>
      </c>
      <c r="B138" s="75">
        <v>591</v>
      </c>
      <c r="C138" s="76">
        <v>158.4</v>
      </c>
      <c r="D138" s="75">
        <v>132</v>
      </c>
      <c r="E138" s="76">
        <v>265.7</v>
      </c>
      <c r="F138" s="75">
        <v>17</v>
      </c>
      <c r="G138" s="76">
        <v>79.9</v>
      </c>
      <c r="H138" s="75">
        <v>62</v>
      </c>
      <c r="I138" s="76">
        <v>1933.6</v>
      </c>
      <c r="J138" s="75">
        <v>15</v>
      </c>
      <c r="K138" s="76">
        <v>345.8</v>
      </c>
      <c r="L138" s="75">
        <v>24</v>
      </c>
      <c r="M138" s="76">
        <v>516.9</v>
      </c>
      <c r="N138" s="75">
        <v>10</v>
      </c>
      <c r="O138" s="76">
        <v>29.7</v>
      </c>
      <c r="P138" s="75">
        <v>4</v>
      </c>
      <c r="Q138" s="76">
        <v>468.9</v>
      </c>
      <c r="R138" s="75">
        <v>855</v>
      </c>
      <c r="S138" s="76">
        <v>3798.9</v>
      </c>
      <c r="T138" s="32" t="s">
        <v>45</v>
      </c>
      <c r="U138" s="75">
        <v>531</v>
      </c>
      <c r="V138" s="76">
        <v>141.33</v>
      </c>
      <c r="W138" s="75">
        <v>99</v>
      </c>
      <c r="X138" s="76">
        <v>156.70000000000002</v>
      </c>
      <c r="Y138" s="75">
        <v>16</v>
      </c>
      <c r="Z138" s="76">
        <v>66.2</v>
      </c>
      <c r="AA138" s="75">
        <v>51</v>
      </c>
      <c r="AB138" s="76">
        <v>774.4000000000001</v>
      </c>
      <c r="AC138" s="75">
        <v>14</v>
      </c>
      <c r="AD138" s="76">
        <v>273.2</v>
      </c>
      <c r="AE138" s="75">
        <v>20</v>
      </c>
      <c r="AF138" s="76">
        <v>150.6</v>
      </c>
      <c r="AG138" s="75">
        <v>6</v>
      </c>
      <c r="AH138" s="76">
        <v>11.1</v>
      </c>
      <c r="AI138" s="75">
        <v>4</v>
      </c>
      <c r="AJ138" s="76">
        <v>372</v>
      </c>
      <c r="AK138" s="75">
        <v>741</v>
      </c>
      <c r="AL138" s="76">
        <v>1945.53</v>
      </c>
    </row>
    <row r="139" spans="1:38" ht="13.5">
      <c r="A139" s="32" t="s">
        <v>22</v>
      </c>
      <c r="B139" s="75">
        <v>455</v>
      </c>
      <c r="C139" s="76">
        <v>120.27</v>
      </c>
      <c r="D139" s="75">
        <v>85</v>
      </c>
      <c r="E139" s="76">
        <v>160.3</v>
      </c>
      <c r="F139" s="75">
        <v>7</v>
      </c>
      <c r="G139" s="76">
        <v>35.8</v>
      </c>
      <c r="H139" s="75">
        <v>15</v>
      </c>
      <c r="I139" s="76">
        <v>193.1</v>
      </c>
      <c r="J139" s="75">
        <v>4</v>
      </c>
      <c r="K139" s="76">
        <v>73.8</v>
      </c>
      <c r="L139" s="75">
        <v>5</v>
      </c>
      <c r="M139" s="76">
        <v>31.4</v>
      </c>
      <c r="N139" s="75">
        <v>6</v>
      </c>
      <c r="O139" s="76">
        <v>14</v>
      </c>
      <c r="P139" s="75">
        <v>0</v>
      </c>
      <c r="Q139" s="76">
        <v>0</v>
      </c>
      <c r="R139" s="75">
        <v>577</v>
      </c>
      <c r="S139" s="76">
        <v>628.67</v>
      </c>
      <c r="T139" s="32" t="s">
        <v>22</v>
      </c>
      <c r="U139" s="75">
        <v>419</v>
      </c>
      <c r="V139" s="76">
        <v>109.95</v>
      </c>
      <c r="W139" s="75">
        <v>66</v>
      </c>
      <c r="X139" s="76">
        <v>90.8</v>
      </c>
      <c r="Y139" s="75">
        <v>7</v>
      </c>
      <c r="Z139" s="76">
        <v>35.3</v>
      </c>
      <c r="AA139" s="75">
        <v>11</v>
      </c>
      <c r="AB139" s="76">
        <v>76.3</v>
      </c>
      <c r="AC139" s="75">
        <v>3</v>
      </c>
      <c r="AD139" s="76">
        <v>51.6</v>
      </c>
      <c r="AE139" s="75">
        <v>4</v>
      </c>
      <c r="AF139" s="76">
        <v>14.9</v>
      </c>
      <c r="AG139" s="75">
        <v>3</v>
      </c>
      <c r="AH139" s="76">
        <v>6</v>
      </c>
      <c r="AI139" s="75">
        <v>0</v>
      </c>
      <c r="AJ139" s="76">
        <v>0</v>
      </c>
      <c r="AK139" s="75">
        <v>513</v>
      </c>
      <c r="AL139" s="76">
        <v>384.85</v>
      </c>
    </row>
    <row r="140" spans="1:38" ht="13.5">
      <c r="A140" s="32" t="s">
        <v>23</v>
      </c>
      <c r="B140" s="75">
        <v>118</v>
      </c>
      <c r="C140" s="76">
        <v>31.66</v>
      </c>
      <c r="D140" s="75">
        <v>34</v>
      </c>
      <c r="E140" s="76">
        <v>66.8</v>
      </c>
      <c r="F140" s="75">
        <v>8</v>
      </c>
      <c r="G140" s="76">
        <v>34</v>
      </c>
      <c r="H140" s="75">
        <v>11</v>
      </c>
      <c r="I140" s="76">
        <v>316.2</v>
      </c>
      <c r="J140" s="75">
        <v>1</v>
      </c>
      <c r="K140" s="76">
        <v>20.7</v>
      </c>
      <c r="L140" s="75">
        <v>2</v>
      </c>
      <c r="M140" s="76">
        <v>18.1</v>
      </c>
      <c r="N140" s="75">
        <v>0</v>
      </c>
      <c r="O140" s="76">
        <v>0</v>
      </c>
      <c r="P140" s="75">
        <v>0</v>
      </c>
      <c r="Q140" s="76">
        <v>0</v>
      </c>
      <c r="R140" s="75">
        <v>174</v>
      </c>
      <c r="S140" s="76">
        <v>487.46</v>
      </c>
      <c r="T140" s="32" t="s">
        <v>23</v>
      </c>
      <c r="U140" s="75">
        <v>96</v>
      </c>
      <c r="V140" s="76">
        <v>25.44</v>
      </c>
      <c r="W140" s="75">
        <v>27</v>
      </c>
      <c r="X140" s="76">
        <v>51.5</v>
      </c>
      <c r="Y140" s="75">
        <v>7</v>
      </c>
      <c r="Z140" s="76">
        <v>23.1</v>
      </c>
      <c r="AA140" s="75">
        <v>9</v>
      </c>
      <c r="AB140" s="76">
        <v>130.9</v>
      </c>
      <c r="AC140" s="75">
        <v>1</v>
      </c>
      <c r="AD140" s="76">
        <v>18.1</v>
      </c>
      <c r="AE140" s="75">
        <v>2</v>
      </c>
      <c r="AF140" s="76">
        <v>10.9</v>
      </c>
      <c r="AG140" s="75">
        <v>0</v>
      </c>
      <c r="AH140" s="76">
        <v>0</v>
      </c>
      <c r="AI140" s="75">
        <v>0</v>
      </c>
      <c r="AJ140" s="76">
        <v>0</v>
      </c>
      <c r="AK140" s="75">
        <v>142</v>
      </c>
      <c r="AL140" s="76">
        <v>259.94</v>
      </c>
    </row>
    <row r="141" spans="1:38" ht="13.5">
      <c r="A141" s="32" t="s">
        <v>24</v>
      </c>
      <c r="B141" s="75">
        <v>18</v>
      </c>
      <c r="C141" s="76">
        <v>6.47</v>
      </c>
      <c r="D141" s="75">
        <v>13</v>
      </c>
      <c r="E141" s="76">
        <v>38.6</v>
      </c>
      <c r="F141" s="75">
        <v>2</v>
      </c>
      <c r="G141" s="76">
        <v>10.1</v>
      </c>
      <c r="H141" s="75">
        <v>36</v>
      </c>
      <c r="I141" s="76">
        <v>1424.3</v>
      </c>
      <c r="J141" s="75">
        <v>10</v>
      </c>
      <c r="K141" s="76">
        <v>251.3</v>
      </c>
      <c r="L141" s="75">
        <v>17</v>
      </c>
      <c r="M141" s="76">
        <v>467.4</v>
      </c>
      <c r="N141" s="75">
        <v>4</v>
      </c>
      <c r="O141" s="76">
        <v>15.7</v>
      </c>
      <c r="P141" s="75">
        <v>4</v>
      </c>
      <c r="Q141" s="76">
        <v>468.9</v>
      </c>
      <c r="R141" s="75">
        <v>104</v>
      </c>
      <c r="S141" s="76">
        <v>2682.77</v>
      </c>
      <c r="T141" s="32" t="s">
        <v>24</v>
      </c>
      <c r="U141" s="75">
        <v>16</v>
      </c>
      <c r="V141" s="76">
        <v>5.94</v>
      </c>
      <c r="W141" s="75">
        <v>6</v>
      </c>
      <c r="X141" s="76">
        <v>14.4</v>
      </c>
      <c r="Y141" s="75">
        <v>2</v>
      </c>
      <c r="Z141" s="76">
        <v>7.8</v>
      </c>
      <c r="AA141" s="75">
        <v>31</v>
      </c>
      <c r="AB141" s="76">
        <v>567.2</v>
      </c>
      <c r="AC141" s="75">
        <v>10</v>
      </c>
      <c r="AD141" s="76">
        <v>203.5</v>
      </c>
      <c r="AE141" s="75">
        <v>14</v>
      </c>
      <c r="AF141" s="76">
        <v>124.8</v>
      </c>
      <c r="AG141" s="75">
        <v>3</v>
      </c>
      <c r="AH141" s="76">
        <v>5.1</v>
      </c>
      <c r="AI141" s="75">
        <v>4</v>
      </c>
      <c r="AJ141" s="76">
        <v>372</v>
      </c>
      <c r="AK141" s="75">
        <v>86</v>
      </c>
      <c r="AL141" s="76">
        <v>1300.74</v>
      </c>
    </row>
    <row r="142" spans="1:38" ht="13.5">
      <c r="A142" s="32" t="s">
        <v>46</v>
      </c>
      <c r="B142" s="75">
        <v>2452</v>
      </c>
      <c r="C142" s="76">
        <v>680.9300000000001</v>
      </c>
      <c r="D142" s="75">
        <v>285</v>
      </c>
      <c r="E142" s="76">
        <v>491.26</v>
      </c>
      <c r="F142" s="75">
        <v>85</v>
      </c>
      <c r="G142" s="76">
        <v>503</v>
      </c>
      <c r="H142" s="75">
        <v>42</v>
      </c>
      <c r="I142" s="76">
        <v>1181.9</v>
      </c>
      <c r="J142" s="75">
        <v>26</v>
      </c>
      <c r="K142" s="76">
        <v>552.3</v>
      </c>
      <c r="L142" s="75">
        <v>4</v>
      </c>
      <c r="M142" s="76">
        <v>39</v>
      </c>
      <c r="N142" s="75">
        <v>22</v>
      </c>
      <c r="O142" s="76">
        <v>121.70000000000002</v>
      </c>
      <c r="P142" s="75">
        <v>6</v>
      </c>
      <c r="Q142" s="76">
        <v>814</v>
      </c>
      <c r="R142" s="75">
        <v>2922</v>
      </c>
      <c r="S142" s="76">
        <v>4384.09</v>
      </c>
      <c r="T142" s="32" t="s">
        <v>46</v>
      </c>
      <c r="U142" s="75">
        <v>2378</v>
      </c>
      <c r="V142" s="76">
        <v>660.0299999999999</v>
      </c>
      <c r="W142" s="75">
        <v>267</v>
      </c>
      <c r="X142" s="76">
        <v>441.51000000000005</v>
      </c>
      <c r="Y142" s="75">
        <v>78</v>
      </c>
      <c r="Z142" s="76">
        <v>357.65999999999997</v>
      </c>
      <c r="AA142" s="75">
        <v>37</v>
      </c>
      <c r="AB142" s="76">
        <v>723.21</v>
      </c>
      <c r="AC142" s="75">
        <v>25</v>
      </c>
      <c r="AD142" s="76">
        <v>435.19</v>
      </c>
      <c r="AE142" s="75">
        <v>4</v>
      </c>
      <c r="AF142" s="76">
        <v>35.6</v>
      </c>
      <c r="AG142" s="75">
        <v>19</v>
      </c>
      <c r="AH142" s="76">
        <v>101.82</v>
      </c>
      <c r="AI142" s="75">
        <v>5</v>
      </c>
      <c r="AJ142" s="76">
        <v>493.4</v>
      </c>
      <c r="AK142" s="75">
        <v>2811</v>
      </c>
      <c r="AL142" s="76">
        <v>3250.55</v>
      </c>
    </row>
    <row r="143" spans="1:38" ht="13.5">
      <c r="A143" s="32" t="s">
        <v>22</v>
      </c>
      <c r="B143" s="75">
        <v>2001</v>
      </c>
      <c r="C143" s="76">
        <v>562.13</v>
      </c>
      <c r="D143" s="75">
        <v>222</v>
      </c>
      <c r="E143" s="76">
        <v>375.56</v>
      </c>
      <c r="F143" s="75">
        <v>60</v>
      </c>
      <c r="G143" s="76">
        <v>343.3</v>
      </c>
      <c r="H143" s="75">
        <v>15</v>
      </c>
      <c r="I143" s="76">
        <v>564.9</v>
      </c>
      <c r="J143" s="75">
        <v>8</v>
      </c>
      <c r="K143" s="76">
        <v>150.4</v>
      </c>
      <c r="L143" s="75">
        <v>1</v>
      </c>
      <c r="M143" s="76">
        <v>4.5</v>
      </c>
      <c r="N143" s="75">
        <v>13</v>
      </c>
      <c r="O143" s="76">
        <v>88.2</v>
      </c>
      <c r="P143" s="75">
        <v>0</v>
      </c>
      <c r="Q143" s="76">
        <v>0</v>
      </c>
      <c r="R143" s="75">
        <v>2320</v>
      </c>
      <c r="S143" s="76">
        <v>2088.99</v>
      </c>
      <c r="T143" s="32" t="s">
        <v>22</v>
      </c>
      <c r="U143" s="75">
        <v>1958</v>
      </c>
      <c r="V143" s="76">
        <v>547.67</v>
      </c>
      <c r="W143" s="75">
        <v>212</v>
      </c>
      <c r="X143" s="76">
        <v>345.99</v>
      </c>
      <c r="Y143" s="75">
        <v>56</v>
      </c>
      <c r="Z143" s="76">
        <v>238.37</v>
      </c>
      <c r="AA143" s="75">
        <v>14</v>
      </c>
      <c r="AB143" s="76">
        <v>354.11</v>
      </c>
      <c r="AC143" s="75">
        <v>8</v>
      </c>
      <c r="AD143" s="76">
        <v>138.6</v>
      </c>
      <c r="AE143" s="75">
        <v>1</v>
      </c>
      <c r="AF143" s="76">
        <v>4.5</v>
      </c>
      <c r="AG143" s="75">
        <v>10</v>
      </c>
      <c r="AH143" s="76">
        <v>70.4</v>
      </c>
      <c r="AI143" s="75">
        <v>0</v>
      </c>
      <c r="AJ143" s="76">
        <v>0</v>
      </c>
      <c r="AK143" s="75">
        <v>2265</v>
      </c>
      <c r="AL143" s="76">
        <v>1702.5</v>
      </c>
    </row>
    <row r="144" spans="1:38" ht="13.5">
      <c r="A144" s="32" t="s">
        <v>23</v>
      </c>
      <c r="B144" s="75">
        <v>325</v>
      </c>
      <c r="C144" s="76">
        <v>80.09</v>
      </c>
      <c r="D144" s="75">
        <v>45</v>
      </c>
      <c r="E144" s="76">
        <v>77.2</v>
      </c>
      <c r="F144" s="75">
        <v>6</v>
      </c>
      <c r="G144" s="76">
        <v>42</v>
      </c>
      <c r="H144" s="75">
        <v>6</v>
      </c>
      <c r="I144" s="76">
        <v>142.5</v>
      </c>
      <c r="J144" s="75">
        <v>2</v>
      </c>
      <c r="K144" s="76">
        <v>58.3</v>
      </c>
      <c r="L144" s="75">
        <v>1</v>
      </c>
      <c r="M144" s="76">
        <v>16.7</v>
      </c>
      <c r="N144" s="75">
        <v>3</v>
      </c>
      <c r="O144" s="76">
        <v>4.4</v>
      </c>
      <c r="P144" s="75">
        <v>0</v>
      </c>
      <c r="Q144" s="76">
        <v>0</v>
      </c>
      <c r="R144" s="75">
        <v>388</v>
      </c>
      <c r="S144" s="76">
        <v>421.19</v>
      </c>
      <c r="T144" s="32" t="s">
        <v>23</v>
      </c>
      <c r="U144" s="75">
        <v>293</v>
      </c>
      <c r="V144" s="76">
        <v>73.69</v>
      </c>
      <c r="W144" s="75">
        <v>41</v>
      </c>
      <c r="X144" s="76">
        <v>68.22</v>
      </c>
      <c r="Y144" s="75">
        <v>6</v>
      </c>
      <c r="Z144" s="76">
        <v>29.4</v>
      </c>
      <c r="AA144" s="75">
        <v>4</v>
      </c>
      <c r="AB144" s="76">
        <v>76.3</v>
      </c>
      <c r="AC144" s="75">
        <v>2</v>
      </c>
      <c r="AD144" s="76">
        <v>53.7</v>
      </c>
      <c r="AE144" s="75">
        <v>1</v>
      </c>
      <c r="AF144" s="76">
        <v>16.7</v>
      </c>
      <c r="AG144" s="75">
        <v>3</v>
      </c>
      <c r="AH144" s="76">
        <v>4.2</v>
      </c>
      <c r="AI144" s="75">
        <v>0</v>
      </c>
      <c r="AJ144" s="76">
        <v>0</v>
      </c>
      <c r="AK144" s="75">
        <v>348</v>
      </c>
      <c r="AL144" s="76">
        <v>322.77</v>
      </c>
    </row>
    <row r="145" spans="1:38" ht="13.5">
      <c r="A145" s="32" t="s">
        <v>24</v>
      </c>
      <c r="B145" s="75">
        <v>126</v>
      </c>
      <c r="C145" s="76">
        <v>38.71</v>
      </c>
      <c r="D145" s="75">
        <v>18</v>
      </c>
      <c r="E145" s="76">
        <v>38.5</v>
      </c>
      <c r="F145" s="75">
        <v>19</v>
      </c>
      <c r="G145" s="76">
        <v>117.7</v>
      </c>
      <c r="H145" s="75">
        <v>21</v>
      </c>
      <c r="I145" s="76">
        <v>474.5</v>
      </c>
      <c r="J145" s="75">
        <v>16</v>
      </c>
      <c r="K145" s="76">
        <v>343.6</v>
      </c>
      <c r="L145" s="75">
        <v>2</v>
      </c>
      <c r="M145" s="76">
        <v>17.8</v>
      </c>
      <c r="N145" s="75">
        <v>6</v>
      </c>
      <c r="O145" s="76">
        <v>29.1</v>
      </c>
      <c r="P145" s="75">
        <v>6</v>
      </c>
      <c r="Q145" s="76">
        <v>814</v>
      </c>
      <c r="R145" s="75">
        <v>214</v>
      </c>
      <c r="S145" s="76">
        <v>1873.91</v>
      </c>
      <c r="T145" s="32" t="s">
        <v>24</v>
      </c>
      <c r="U145" s="75">
        <v>127</v>
      </c>
      <c r="V145" s="76">
        <v>38.67</v>
      </c>
      <c r="W145" s="75">
        <v>14</v>
      </c>
      <c r="X145" s="76">
        <v>27.3</v>
      </c>
      <c r="Y145" s="75">
        <v>16</v>
      </c>
      <c r="Z145" s="76">
        <v>89.89</v>
      </c>
      <c r="AA145" s="75">
        <v>19</v>
      </c>
      <c r="AB145" s="76">
        <v>292.8</v>
      </c>
      <c r="AC145" s="75">
        <v>15</v>
      </c>
      <c r="AD145" s="76">
        <v>242.89</v>
      </c>
      <c r="AE145" s="75">
        <v>2</v>
      </c>
      <c r="AF145" s="76">
        <v>14.4</v>
      </c>
      <c r="AG145" s="75">
        <v>6</v>
      </c>
      <c r="AH145" s="76">
        <v>27.22</v>
      </c>
      <c r="AI145" s="75">
        <v>5</v>
      </c>
      <c r="AJ145" s="76">
        <v>493.4</v>
      </c>
      <c r="AK145" s="75">
        <v>198</v>
      </c>
      <c r="AL145" s="76">
        <v>1225.28</v>
      </c>
    </row>
    <row r="146" spans="1:38" ht="13.5">
      <c r="A146" s="32" t="s">
        <v>47</v>
      </c>
      <c r="B146" s="75">
        <v>484</v>
      </c>
      <c r="C146" s="76">
        <v>89.57999999999998</v>
      </c>
      <c r="D146" s="75">
        <v>55</v>
      </c>
      <c r="E146" s="76">
        <v>91.7</v>
      </c>
      <c r="F146" s="75">
        <v>21</v>
      </c>
      <c r="G146" s="76">
        <v>143.3</v>
      </c>
      <c r="H146" s="75">
        <v>25</v>
      </c>
      <c r="I146" s="76">
        <v>560.9</v>
      </c>
      <c r="J146" s="75">
        <v>11</v>
      </c>
      <c r="K146" s="76">
        <v>226.8</v>
      </c>
      <c r="L146" s="75">
        <v>3</v>
      </c>
      <c r="M146" s="76">
        <v>12.1</v>
      </c>
      <c r="N146" s="75">
        <v>1</v>
      </c>
      <c r="O146" s="76">
        <v>3.8</v>
      </c>
      <c r="P146" s="75">
        <v>2</v>
      </c>
      <c r="Q146" s="76">
        <v>653.7</v>
      </c>
      <c r="R146" s="75">
        <v>602</v>
      </c>
      <c r="S146" s="76">
        <v>1781.88</v>
      </c>
      <c r="T146" s="32" t="s">
        <v>47</v>
      </c>
      <c r="U146" s="75">
        <v>476</v>
      </c>
      <c r="V146" s="76">
        <v>86.30000000000001</v>
      </c>
      <c r="W146" s="75">
        <v>53</v>
      </c>
      <c r="X146" s="76">
        <v>85.1</v>
      </c>
      <c r="Y146" s="75">
        <v>19</v>
      </c>
      <c r="Z146" s="76">
        <v>113.30000000000001</v>
      </c>
      <c r="AA146" s="75">
        <v>22</v>
      </c>
      <c r="AB146" s="76">
        <v>394.1</v>
      </c>
      <c r="AC146" s="75">
        <v>11</v>
      </c>
      <c r="AD146" s="76">
        <v>151.5</v>
      </c>
      <c r="AE146" s="75">
        <v>3</v>
      </c>
      <c r="AF146" s="76">
        <v>8.4</v>
      </c>
      <c r="AG146" s="75">
        <v>1</v>
      </c>
      <c r="AH146" s="76">
        <v>3.8</v>
      </c>
      <c r="AI146" s="75">
        <v>2</v>
      </c>
      <c r="AJ146" s="76">
        <v>96.9</v>
      </c>
      <c r="AK146" s="75">
        <v>587</v>
      </c>
      <c r="AL146" s="76">
        <v>939.4</v>
      </c>
    </row>
    <row r="147" spans="1:38" ht="13.5">
      <c r="A147" s="32" t="s">
        <v>22</v>
      </c>
      <c r="B147" s="75">
        <v>309</v>
      </c>
      <c r="C147" s="76">
        <v>57.04</v>
      </c>
      <c r="D147" s="75">
        <v>30</v>
      </c>
      <c r="E147" s="76">
        <v>51.7</v>
      </c>
      <c r="F147" s="75">
        <v>8</v>
      </c>
      <c r="G147" s="76">
        <v>58.3</v>
      </c>
      <c r="H147" s="75">
        <v>5</v>
      </c>
      <c r="I147" s="76">
        <v>48.2</v>
      </c>
      <c r="J147" s="75">
        <v>3</v>
      </c>
      <c r="K147" s="76">
        <v>29.1</v>
      </c>
      <c r="L147" s="75">
        <v>0</v>
      </c>
      <c r="M147" s="76">
        <v>0</v>
      </c>
      <c r="N147" s="75">
        <v>1</v>
      </c>
      <c r="O147" s="76">
        <v>3.8</v>
      </c>
      <c r="P147" s="75">
        <v>0</v>
      </c>
      <c r="Q147" s="76">
        <v>0</v>
      </c>
      <c r="R147" s="75">
        <v>356</v>
      </c>
      <c r="S147" s="76">
        <v>248.14</v>
      </c>
      <c r="T147" s="32" t="s">
        <v>22</v>
      </c>
      <c r="U147" s="75">
        <v>303</v>
      </c>
      <c r="V147" s="76">
        <v>54.45</v>
      </c>
      <c r="W147" s="75">
        <v>29</v>
      </c>
      <c r="X147" s="76">
        <v>48.2</v>
      </c>
      <c r="Y147" s="75">
        <v>7</v>
      </c>
      <c r="Z147" s="76">
        <v>40.9</v>
      </c>
      <c r="AA147" s="75">
        <v>4</v>
      </c>
      <c r="AB147" s="76">
        <v>31.9</v>
      </c>
      <c r="AC147" s="75">
        <v>3</v>
      </c>
      <c r="AD147" s="76">
        <v>27.9</v>
      </c>
      <c r="AE147" s="75">
        <v>0</v>
      </c>
      <c r="AF147" s="76">
        <v>0</v>
      </c>
      <c r="AG147" s="75">
        <v>1</v>
      </c>
      <c r="AH147" s="76">
        <v>3.8</v>
      </c>
      <c r="AI147" s="75">
        <v>0</v>
      </c>
      <c r="AJ147" s="76">
        <v>0</v>
      </c>
      <c r="AK147" s="75">
        <v>347</v>
      </c>
      <c r="AL147" s="76">
        <v>207.15</v>
      </c>
    </row>
    <row r="148" spans="1:38" ht="13.5">
      <c r="A148" s="32" t="s">
        <v>23</v>
      </c>
      <c r="B148" s="75">
        <v>94</v>
      </c>
      <c r="C148" s="76">
        <v>16.25</v>
      </c>
      <c r="D148" s="75">
        <v>9</v>
      </c>
      <c r="E148" s="76">
        <v>15.8</v>
      </c>
      <c r="F148" s="75">
        <v>6</v>
      </c>
      <c r="G148" s="76">
        <v>45</v>
      </c>
      <c r="H148" s="75">
        <v>9</v>
      </c>
      <c r="I148" s="76">
        <v>287.1</v>
      </c>
      <c r="J148" s="75">
        <v>5</v>
      </c>
      <c r="K148" s="76">
        <v>103</v>
      </c>
      <c r="L148" s="75">
        <v>1</v>
      </c>
      <c r="M148" s="76">
        <v>0.4</v>
      </c>
      <c r="N148" s="75">
        <v>0</v>
      </c>
      <c r="O148" s="76">
        <v>0</v>
      </c>
      <c r="P148" s="75">
        <v>0</v>
      </c>
      <c r="Q148" s="76">
        <v>0</v>
      </c>
      <c r="R148" s="75">
        <v>124</v>
      </c>
      <c r="S148" s="76">
        <v>467.55</v>
      </c>
      <c r="T148" s="32" t="s">
        <v>23</v>
      </c>
      <c r="U148" s="75">
        <v>92</v>
      </c>
      <c r="V148" s="76">
        <v>15.76</v>
      </c>
      <c r="W148" s="75">
        <v>9</v>
      </c>
      <c r="X148" s="76">
        <v>15</v>
      </c>
      <c r="Y148" s="75">
        <v>6</v>
      </c>
      <c r="Z148" s="76">
        <v>40</v>
      </c>
      <c r="AA148" s="75">
        <v>9</v>
      </c>
      <c r="AB148" s="76">
        <v>202.7</v>
      </c>
      <c r="AC148" s="75">
        <v>5</v>
      </c>
      <c r="AD148" s="76">
        <v>80.9</v>
      </c>
      <c r="AE148" s="75">
        <v>1</v>
      </c>
      <c r="AF148" s="76">
        <v>0.4</v>
      </c>
      <c r="AG148" s="75">
        <v>0</v>
      </c>
      <c r="AH148" s="76">
        <v>0</v>
      </c>
      <c r="AI148" s="75">
        <v>0</v>
      </c>
      <c r="AJ148" s="76">
        <v>0</v>
      </c>
      <c r="AK148" s="75">
        <v>122</v>
      </c>
      <c r="AL148" s="76">
        <v>354.76</v>
      </c>
    </row>
    <row r="149" spans="1:38" ht="13.5">
      <c r="A149" s="32" t="s">
        <v>24</v>
      </c>
      <c r="B149" s="75">
        <v>81</v>
      </c>
      <c r="C149" s="76">
        <v>16.29</v>
      </c>
      <c r="D149" s="75">
        <v>16</v>
      </c>
      <c r="E149" s="76">
        <v>24.2</v>
      </c>
      <c r="F149" s="75">
        <v>7</v>
      </c>
      <c r="G149" s="76">
        <v>40</v>
      </c>
      <c r="H149" s="75">
        <v>11</v>
      </c>
      <c r="I149" s="76">
        <v>225.6</v>
      </c>
      <c r="J149" s="75">
        <v>3</v>
      </c>
      <c r="K149" s="76">
        <v>94.7</v>
      </c>
      <c r="L149" s="75">
        <v>2</v>
      </c>
      <c r="M149" s="76">
        <v>11.7</v>
      </c>
      <c r="N149" s="75">
        <v>0</v>
      </c>
      <c r="O149" s="76">
        <v>0</v>
      </c>
      <c r="P149" s="75">
        <v>2</v>
      </c>
      <c r="Q149" s="76">
        <v>653.7</v>
      </c>
      <c r="R149" s="75">
        <v>122</v>
      </c>
      <c r="S149" s="76">
        <v>1066.19</v>
      </c>
      <c r="T149" s="32" t="s">
        <v>24</v>
      </c>
      <c r="U149" s="75">
        <v>81</v>
      </c>
      <c r="V149" s="76">
        <v>16.09</v>
      </c>
      <c r="W149" s="75">
        <v>15</v>
      </c>
      <c r="X149" s="76">
        <v>21.9</v>
      </c>
      <c r="Y149" s="75">
        <v>6</v>
      </c>
      <c r="Z149" s="76">
        <v>32.4</v>
      </c>
      <c r="AA149" s="75">
        <v>9</v>
      </c>
      <c r="AB149" s="76">
        <v>159.5</v>
      </c>
      <c r="AC149" s="75">
        <v>3</v>
      </c>
      <c r="AD149" s="76">
        <v>42.7</v>
      </c>
      <c r="AE149" s="75">
        <v>2</v>
      </c>
      <c r="AF149" s="76">
        <v>8</v>
      </c>
      <c r="AG149" s="75">
        <v>0</v>
      </c>
      <c r="AH149" s="76">
        <v>0</v>
      </c>
      <c r="AI149" s="75">
        <v>2</v>
      </c>
      <c r="AJ149" s="76">
        <v>96.9</v>
      </c>
      <c r="AK149" s="75">
        <v>118</v>
      </c>
      <c r="AL149" s="76">
        <v>377.49</v>
      </c>
    </row>
    <row r="150" spans="1:38" ht="13.5">
      <c r="A150" s="32"/>
      <c r="B150" s="19"/>
      <c r="C150" s="20"/>
      <c r="D150" s="19"/>
      <c r="E150" s="20"/>
      <c r="F150" s="19"/>
      <c r="G150" s="20"/>
      <c r="H150" s="19"/>
      <c r="I150" s="20"/>
      <c r="J150" s="19"/>
      <c r="K150" s="20"/>
      <c r="L150" s="19"/>
      <c r="M150" s="20"/>
      <c r="N150" s="19"/>
      <c r="O150" s="20"/>
      <c r="P150" s="19"/>
      <c r="Q150" s="20"/>
      <c r="R150" s="19"/>
      <c r="S150" s="20"/>
      <c r="T150" s="32"/>
      <c r="U150" s="19"/>
      <c r="V150" s="20"/>
      <c r="W150" s="19"/>
      <c r="X150" s="20"/>
      <c r="Y150" s="19"/>
      <c r="Z150" s="20"/>
      <c r="AA150" s="19"/>
      <c r="AB150" s="20"/>
      <c r="AC150" s="19"/>
      <c r="AD150" s="20"/>
      <c r="AE150" s="19"/>
      <c r="AF150" s="20"/>
      <c r="AG150" s="19"/>
      <c r="AH150" s="20"/>
      <c r="AI150" s="19"/>
      <c r="AJ150" s="20"/>
      <c r="AK150" s="19"/>
      <c r="AL150" s="20"/>
    </row>
    <row r="151" spans="1:38" ht="13.5">
      <c r="A151" s="32" t="s">
        <v>48</v>
      </c>
      <c r="B151" s="75">
        <v>442</v>
      </c>
      <c r="C151" s="76">
        <v>100.16</v>
      </c>
      <c r="D151" s="75">
        <v>45</v>
      </c>
      <c r="E151" s="76">
        <v>73.6</v>
      </c>
      <c r="F151" s="75">
        <v>11</v>
      </c>
      <c r="G151" s="76">
        <v>46.6</v>
      </c>
      <c r="H151" s="75">
        <v>19</v>
      </c>
      <c r="I151" s="76">
        <v>763.8</v>
      </c>
      <c r="J151" s="75">
        <v>9</v>
      </c>
      <c r="K151" s="76">
        <v>175.70000000000002</v>
      </c>
      <c r="L151" s="75">
        <v>3</v>
      </c>
      <c r="M151" s="76">
        <v>25.2</v>
      </c>
      <c r="N151" s="75">
        <v>2</v>
      </c>
      <c r="O151" s="76">
        <v>1.1</v>
      </c>
      <c r="P151" s="75">
        <v>0</v>
      </c>
      <c r="Q151" s="76">
        <v>0</v>
      </c>
      <c r="R151" s="75">
        <v>531</v>
      </c>
      <c r="S151" s="76">
        <v>1186.1599999999999</v>
      </c>
      <c r="T151" s="32" t="s">
        <v>48</v>
      </c>
      <c r="U151" s="75">
        <v>432</v>
      </c>
      <c r="V151" s="76">
        <v>97.50000000000001</v>
      </c>
      <c r="W151" s="75">
        <v>44</v>
      </c>
      <c r="X151" s="76">
        <v>72.5</v>
      </c>
      <c r="Y151" s="75">
        <v>10</v>
      </c>
      <c r="Z151" s="76">
        <v>39.4</v>
      </c>
      <c r="AA151" s="75">
        <v>19</v>
      </c>
      <c r="AB151" s="76">
        <v>508</v>
      </c>
      <c r="AC151" s="75">
        <v>9</v>
      </c>
      <c r="AD151" s="76">
        <v>147.8</v>
      </c>
      <c r="AE151" s="75">
        <v>3</v>
      </c>
      <c r="AF151" s="76">
        <v>24.8</v>
      </c>
      <c r="AG151" s="75">
        <v>2</v>
      </c>
      <c r="AH151" s="76">
        <v>1.1</v>
      </c>
      <c r="AI151" s="75">
        <v>0</v>
      </c>
      <c r="AJ151" s="76">
        <v>0</v>
      </c>
      <c r="AK151" s="75">
        <v>519</v>
      </c>
      <c r="AL151" s="76">
        <v>891.0999999999999</v>
      </c>
    </row>
    <row r="152" spans="1:38" ht="13.5">
      <c r="A152" s="32" t="s">
        <v>22</v>
      </c>
      <c r="B152" s="75">
        <v>307</v>
      </c>
      <c r="C152" s="76">
        <v>70.47</v>
      </c>
      <c r="D152" s="75">
        <v>23</v>
      </c>
      <c r="E152" s="76">
        <v>40.1</v>
      </c>
      <c r="F152" s="75">
        <v>3</v>
      </c>
      <c r="G152" s="76">
        <v>12.4</v>
      </c>
      <c r="H152" s="75">
        <v>3</v>
      </c>
      <c r="I152" s="76">
        <v>216.7</v>
      </c>
      <c r="J152" s="75">
        <v>4</v>
      </c>
      <c r="K152" s="76">
        <v>65.4</v>
      </c>
      <c r="L152" s="75">
        <v>0</v>
      </c>
      <c r="M152" s="76">
        <v>0</v>
      </c>
      <c r="N152" s="75">
        <v>2</v>
      </c>
      <c r="O152" s="76">
        <v>1.1</v>
      </c>
      <c r="P152" s="75">
        <v>0</v>
      </c>
      <c r="Q152" s="76">
        <v>0</v>
      </c>
      <c r="R152" s="75">
        <v>342</v>
      </c>
      <c r="S152" s="76">
        <v>406.17</v>
      </c>
      <c r="T152" s="32" t="s">
        <v>22</v>
      </c>
      <c r="U152" s="75">
        <v>299</v>
      </c>
      <c r="V152" s="76">
        <v>68.7</v>
      </c>
      <c r="W152" s="75">
        <v>23</v>
      </c>
      <c r="X152" s="76">
        <v>40.1</v>
      </c>
      <c r="Y152" s="75">
        <v>3</v>
      </c>
      <c r="Z152" s="76">
        <v>12.1</v>
      </c>
      <c r="AA152" s="75">
        <v>3</v>
      </c>
      <c r="AB152" s="76">
        <v>134.4</v>
      </c>
      <c r="AC152" s="75">
        <v>4</v>
      </c>
      <c r="AD152" s="76">
        <v>65.5</v>
      </c>
      <c r="AE152" s="75">
        <v>0</v>
      </c>
      <c r="AF152" s="76">
        <v>0</v>
      </c>
      <c r="AG152" s="75">
        <v>2</v>
      </c>
      <c r="AH152" s="76">
        <v>1.1</v>
      </c>
      <c r="AI152" s="75">
        <v>0</v>
      </c>
      <c r="AJ152" s="76">
        <v>0</v>
      </c>
      <c r="AK152" s="75">
        <v>334</v>
      </c>
      <c r="AL152" s="76">
        <v>321.9</v>
      </c>
    </row>
    <row r="153" spans="1:38" ht="13.5">
      <c r="A153" s="32" t="s">
        <v>23</v>
      </c>
      <c r="B153" s="75">
        <v>105</v>
      </c>
      <c r="C153" s="76">
        <v>25.24</v>
      </c>
      <c r="D153" s="75">
        <v>18</v>
      </c>
      <c r="E153" s="76">
        <v>26.5</v>
      </c>
      <c r="F153" s="75">
        <v>8</v>
      </c>
      <c r="G153" s="76">
        <v>34.2</v>
      </c>
      <c r="H153" s="75">
        <v>2</v>
      </c>
      <c r="I153" s="76">
        <v>79.6</v>
      </c>
      <c r="J153" s="75">
        <v>3</v>
      </c>
      <c r="K153" s="76">
        <v>43.4</v>
      </c>
      <c r="L153" s="75">
        <v>2</v>
      </c>
      <c r="M153" s="76">
        <v>21</v>
      </c>
      <c r="N153" s="75">
        <v>0</v>
      </c>
      <c r="O153" s="76">
        <v>0</v>
      </c>
      <c r="P153" s="75">
        <v>0</v>
      </c>
      <c r="Q153" s="76">
        <v>0</v>
      </c>
      <c r="R153" s="75">
        <v>138</v>
      </c>
      <c r="S153" s="76">
        <v>229.94</v>
      </c>
      <c r="T153" s="32" t="s">
        <v>23</v>
      </c>
      <c r="U153" s="75">
        <v>103</v>
      </c>
      <c r="V153" s="76">
        <v>24.35</v>
      </c>
      <c r="W153" s="75">
        <v>17</v>
      </c>
      <c r="X153" s="76">
        <v>25.4</v>
      </c>
      <c r="Y153" s="75">
        <v>7</v>
      </c>
      <c r="Z153" s="76">
        <v>27.3</v>
      </c>
      <c r="AA153" s="75">
        <v>2</v>
      </c>
      <c r="AB153" s="76">
        <v>65.2</v>
      </c>
      <c r="AC153" s="75">
        <v>3</v>
      </c>
      <c r="AD153" s="76">
        <v>43.4</v>
      </c>
      <c r="AE153" s="75">
        <v>2</v>
      </c>
      <c r="AF153" s="76">
        <v>20.6</v>
      </c>
      <c r="AG153" s="75">
        <v>0</v>
      </c>
      <c r="AH153" s="76">
        <v>0</v>
      </c>
      <c r="AI153" s="75">
        <v>0</v>
      </c>
      <c r="AJ153" s="76">
        <v>0</v>
      </c>
      <c r="AK153" s="75">
        <v>134</v>
      </c>
      <c r="AL153" s="76">
        <v>206.25</v>
      </c>
    </row>
    <row r="154" spans="1:38" ht="13.5">
      <c r="A154" s="32" t="s">
        <v>24</v>
      </c>
      <c r="B154" s="75">
        <v>30</v>
      </c>
      <c r="C154" s="76">
        <v>4.45</v>
      </c>
      <c r="D154" s="75">
        <v>4</v>
      </c>
      <c r="E154" s="76">
        <v>7</v>
      </c>
      <c r="F154" s="75">
        <v>0</v>
      </c>
      <c r="G154" s="76">
        <v>0</v>
      </c>
      <c r="H154" s="75">
        <v>14</v>
      </c>
      <c r="I154" s="76">
        <v>467.5</v>
      </c>
      <c r="J154" s="75">
        <v>2</v>
      </c>
      <c r="K154" s="76">
        <v>66.9</v>
      </c>
      <c r="L154" s="75">
        <v>1</v>
      </c>
      <c r="M154" s="76">
        <v>4.2</v>
      </c>
      <c r="N154" s="75">
        <v>0</v>
      </c>
      <c r="O154" s="76">
        <v>0</v>
      </c>
      <c r="P154" s="75">
        <v>0</v>
      </c>
      <c r="Q154" s="76">
        <v>0</v>
      </c>
      <c r="R154" s="75">
        <v>51</v>
      </c>
      <c r="S154" s="76">
        <v>550.05</v>
      </c>
      <c r="T154" s="32" t="s">
        <v>24</v>
      </c>
      <c r="U154" s="75">
        <v>30</v>
      </c>
      <c r="V154" s="76">
        <v>4.45</v>
      </c>
      <c r="W154" s="75">
        <v>4</v>
      </c>
      <c r="X154" s="76">
        <v>7</v>
      </c>
      <c r="Y154" s="75">
        <v>0</v>
      </c>
      <c r="Z154" s="76">
        <v>0</v>
      </c>
      <c r="AA154" s="75">
        <v>14</v>
      </c>
      <c r="AB154" s="76">
        <v>308.4</v>
      </c>
      <c r="AC154" s="75">
        <v>2</v>
      </c>
      <c r="AD154" s="76">
        <v>38.9</v>
      </c>
      <c r="AE154" s="75">
        <v>1</v>
      </c>
      <c r="AF154" s="76">
        <v>4.2</v>
      </c>
      <c r="AG154" s="75">
        <v>0</v>
      </c>
      <c r="AH154" s="76">
        <v>0</v>
      </c>
      <c r="AI154" s="75">
        <v>0</v>
      </c>
      <c r="AJ154" s="76">
        <v>0</v>
      </c>
      <c r="AK154" s="75">
        <v>51</v>
      </c>
      <c r="AL154" s="76">
        <v>362.95</v>
      </c>
    </row>
    <row r="155" spans="1:39" ht="14.25">
      <c r="A155" s="32" t="s">
        <v>49</v>
      </c>
      <c r="B155" s="75">
        <v>116</v>
      </c>
      <c r="C155" s="76">
        <v>30.1</v>
      </c>
      <c r="D155" s="75">
        <v>76</v>
      </c>
      <c r="E155" s="76">
        <v>205.7</v>
      </c>
      <c r="F155" s="75">
        <v>16</v>
      </c>
      <c r="G155" s="76">
        <v>96.9</v>
      </c>
      <c r="H155" s="75">
        <v>20</v>
      </c>
      <c r="I155" s="76">
        <v>492</v>
      </c>
      <c r="J155" s="75">
        <v>9</v>
      </c>
      <c r="K155" s="76">
        <v>140.5</v>
      </c>
      <c r="L155" s="75">
        <v>15</v>
      </c>
      <c r="M155" s="76">
        <v>298.3</v>
      </c>
      <c r="N155" s="75">
        <v>2</v>
      </c>
      <c r="O155" s="76">
        <v>1.9000000000000001</v>
      </c>
      <c r="P155" s="75">
        <v>0</v>
      </c>
      <c r="Q155" s="76">
        <v>0</v>
      </c>
      <c r="R155" s="75">
        <v>254</v>
      </c>
      <c r="S155" s="76">
        <v>1265.4</v>
      </c>
      <c r="T155" s="32" t="s">
        <v>49</v>
      </c>
      <c r="U155" s="75">
        <v>110</v>
      </c>
      <c r="V155" s="76">
        <v>28.27</v>
      </c>
      <c r="W155" s="75">
        <v>47</v>
      </c>
      <c r="X155" s="76">
        <v>110.81</v>
      </c>
      <c r="Y155" s="75">
        <v>14</v>
      </c>
      <c r="Z155" s="76">
        <v>78.5</v>
      </c>
      <c r="AA155" s="75">
        <v>19</v>
      </c>
      <c r="AB155" s="76">
        <v>329.7</v>
      </c>
      <c r="AC155" s="75">
        <v>8</v>
      </c>
      <c r="AD155" s="76">
        <v>115</v>
      </c>
      <c r="AE155" s="75">
        <v>6</v>
      </c>
      <c r="AF155" s="76">
        <v>85.89</v>
      </c>
      <c r="AG155" s="75">
        <v>2</v>
      </c>
      <c r="AH155" s="76">
        <v>1.6</v>
      </c>
      <c r="AI155" s="75">
        <v>0</v>
      </c>
      <c r="AJ155" s="76">
        <v>0</v>
      </c>
      <c r="AK155" s="75">
        <v>206</v>
      </c>
      <c r="AL155" s="76">
        <v>749.77</v>
      </c>
      <c r="AM155" s="23"/>
    </row>
    <row r="156" spans="1:38" ht="13.5">
      <c r="A156" s="32" t="s">
        <v>22</v>
      </c>
      <c r="B156" s="75">
        <v>61</v>
      </c>
      <c r="C156" s="76">
        <v>16.39</v>
      </c>
      <c r="D156" s="75">
        <v>29</v>
      </c>
      <c r="E156" s="76">
        <v>66.8</v>
      </c>
      <c r="F156" s="75">
        <v>3</v>
      </c>
      <c r="G156" s="76">
        <v>22.8</v>
      </c>
      <c r="H156" s="75">
        <v>5</v>
      </c>
      <c r="I156" s="76">
        <v>104.3</v>
      </c>
      <c r="J156" s="75">
        <v>1</v>
      </c>
      <c r="K156" s="76">
        <v>15.1</v>
      </c>
      <c r="L156" s="75">
        <v>0</v>
      </c>
      <c r="M156" s="76">
        <v>0</v>
      </c>
      <c r="N156" s="75">
        <v>1</v>
      </c>
      <c r="O156" s="76">
        <v>1.8</v>
      </c>
      <c r="P156" s="75">
        <v>0</v>
      </c>
      <c r="Q156" s="76">
        <v>0</v>
      </c>
      <c r="R156" s="75">
        <v>100</v>
      </c>
      <c r="S156" s="76">
        <v>227.19</v>
      </c>
      <c r="T156" s="32" t="s">
        <v>22</v>
      </c>
      <c r="U156" s="75">
        <v>59</v>
      </c>
      <c r="V156" s="76">
        <v>15.37</v>
      </c>
      <c r="W156" s="75">
        <v>19</v>
      </c>
      <c r="X156" s="76">
        <v>42.51</v>
      </c>
      <c r="Y156" s="75">
        <v>3</v>
      </c>
      <c r="Z156" s="76">
        <v>15</v>
      </c>
      <c r="AA156" s="75">
        <v>5</v>
      </c>
      <c r="AB156" s="76">
        <v>84.1</v>
      </c>
      <c r="AC156" s="75">
        <v>1</v>
      </c>
      <c r="AD156" s="76">
        <v>15.1</v>
      </c>
      <c r="AE156" s="75">
        <v>0</v>
      </c>
      <c r="AF156" s="76">
        <v>0</v>
      </c>
      <c r="AG156" s="75">
        <v>1</v>
      </c>
      <c r="AH156" s="76">
        <v>1.5</v>
      </c>
      <c r="AI156" s="75">
        <v>0</v>
      </c>
      <c r="AJ156" s="76">
        <v>0</v>
      </c>
      <c r="AK156" s="75">
        <v>88</v>
      </c>
      <c r="AL156" s="76">
        <v>173.58</v>
      </c>
    </row>
    <row r="157" spans="1:38" ht="13.5">
      <c r="A157" s="32" t="s">
        <v>23</v>
      </c>
      <c r="B157" s="75">
        <v>38</v>
      </c>
      <c r="C157" s="76">
        <v>8.31</v>
      </c>
      <c r="D157" s="75">
        <v>34</v>
      </c>
      <c r="E157" s="76">
        <v>96.8</v>
      </c>
      <c r="F157" s="75">
        <v>5</v>
      </c>
      <c r="G157" s="76">
        <v>30.1</v>
      </c>
      <c r="H157" s="75">
        <v>2</v>
      </c>
      <c r="I157" s="76">
        <v>57.6</v>
      </c>
      <c r="J157" s="75">
        <v>2</v>
      </c>
      <c r="K157" s="76">
        <v>25.6</v>
      </c>
      <c r="L157" s="75">
        <v>0</v>
      </c>
      <c r="M157" s="76">
        <v>0</v>
      </c>
      <c r="N157" s="75">
        <v>1</v>
      </c>
      <c r="O157" s="76">
        <v>0.1</v>
      </c>
      <c r="P157" s="75">
        <v>0</v>
      </c>
      <c r="Q157" s="76">
        <v>0</v>
      </c>
      <c r="R157" s="75">
        <v>82</v>
      </c>
      <c r="S157" s="76">
        <v>218.51</v>
      </c>
      <c r="T157" s="32" t="s">
        <v>23</v>
      </c>
      <c r="U157" s="75">
        <v>34</v>
      </c>
      <c r="V157" s="76">
        <v>7.69</v>
      </c>
      <c r="W157" s="75">
        <v>23</v>
      </c>
      <c r="X157" s="76">
        <v>55.6</v>
      </c>
      <c r="Y157" s="75">
        <v>6</v>
      </c>
      <c r="Z157" s="76">
        <v>33</v>
      </c>
      <c r="AA157" s="75">
        <v>2</v>
      </c>
      <c r="AB157" s="76">
        <v>43.6</v>
      </c>
      <c r="AC157" s="75">
        <v>2</v>
      </c>
      <c r="AD157" s="76">
        <v>16.4</v>
      </c>
      <c r="AE157" s="75">
        <v>0</v>
      </c>
      <c r="AF157" s="76">
        <v>0</v>
      </c>
      <c r="AG157" s="75">
        <v>1</v>
      </c>
      <c r="AH157" s="76">
        <v>0.1</v>
      </c>
      <c r="AI157" s="75">
        <v>0</v>
      </c>
      <c r="AJ157" s="76">
        <v>0</v>
      </c>
      <c r="AK157" s="75">
        <v>68</v>
      </c>
      <c r="AL157" s="76">
        <v>156.39</v>
      </c>
    </row>
    <row r="158" spans="1:38" ht="13.5">
      <c r="A158" s="32" t="s">
        <v>24</v>
      </c>
      <c r="B158" s="75">
        <v>17</v>
      </c>
      <c r="C158" s="76">
        <v>5.4</v>
      </c>
      <c r="D158" s="75">
        <v>13</v>
      </c>
      <c r="E158" s="76">
        <v>42.1</v>
      </c>
      <c r="F158" s="75">
        <v>8</v>
      </c>
      <c r="G158" s="76">
        <v>44</v>
      </c>
      <c r="H158" s="75">
        <v>13</v>
      </c>
      <c r="I158" s="76">
        <v>330.1</v>
      </c>
      <c r="J158" s="75">
        <v>6</v>
      </c>
      <c r="K158" s="76">
        <v>99.8</v>
      </c>
      <c r="L158" s="75">
        <v>15</v>
      </c>
      <c r="M158" s="76">
        <v>298.3</v>
      </c>
      <c r="N158" s="75">
        <v>0</v>
      </c>
      <c r="O158" s="76">
        <v>0</v>
      </c>
      <c r="P158" s="75">
        <v>0</v>
      </c>
      <c r="Q158" s="76">
        <v>0</v>
      </c>
      <c r="R158" s="75">
        <v>72</v>
      </c>
      <c r="S158" s="76">
        <v>819.7</v>
      </c>
      <c r="T158" s="32" t="s">
        <v>24</v>
      </c>
      <c r="U158" s="75">
        <v>17</v>
      </c>
      <c r="V158" s="76">
        <v>5.21</v>
      </c>
      <c r="W158" s="75">
        <v>5</v>
      </c>
      <c r="X158" s="76">
        <v>12.7</v>
      </c>
      <c r="Y158" s="75">
        <v>5</v>
      </c>
      <c r="Z158" s="76">
        <v>30.5</v>
      </c>
      <c r="AA158" s="75">
        <v>12</v>
      </c>
      <c r="AB158" s="76">
        <v>202</v>
      </c>
      <c r="AC158" s="75">
        <v>5</v>
      </c>
      <c r="AD158" s="76">
        <v>83.5</v>
      </c>
      <c r="AE158" s="75">
        <v>6</v>
      </c>
      <c r="AF158" s="76">
        <v>85.89</v>
      </c>
      <c r="AG158" s="75">
        <v>0</v>
      </c>
      <c r="AH158" s="76">
        <v>0</v>
      </c>
      <c r="AI158" s="75">
        <v>0</v>
      </c>
      <c r="AJ158" s="76">
        <v>0</v>
      </c>
      <c r="AK158" s="75">
        <v>50</v>
      </c>
      <c r="AL158" s="76">
        <v>419.8</v>
      </c>
    </row>
    <row r="159" spans="1:38" ht="13.5">
      <c r="A159" s="32" t="s">
        <v>50</v>
      </c>
      <c r="B159" s="75">
        <v>495</v>
      </c>
      <c r="C159" s="76">
        <v>140.98</v>
      </c>
      <c r="D159" s="75">
        <v>55</v>
      </c>
      <c r="E159" s="76">
        <v>110.70000000000002</v>
      </c>
      <c r="F159" s="75">
        <v>27</v>
      </c>
      <c r="G159" s="76">
        <v>144.4</v>
      </c>
      <c r="H159" s="75">
        <v>22</v>
      </c>
      <c r="I159" s="76">
        <v>523.3</v>
      </c>
      <c r="J159" s="75">
        <v>9</v>
      </c>
      <c r="K159" s="76">
        <v>173.3</v>
      </c>
      <c r="L159" s="75">
        <v>10</v>
      </c>
      <c r="M159" s="76">
        <v>124.60000000000001</v>
      </c>
      <c r="N159" s="75">
        <v>4</v>
      </c>
      <c r="O159" s="76">
        <v>12.1</v>
      </c>
      <c r="P159" s="75">
        <v>5</v>
      </c>
      <c r="Q159" s="76">
        <v>507.9</v>
      </c>
      <c r="R159" s="75">
        <v>627</v>
      </c>
      <c r="S159" s="76">
        <v>1737.28</v>
      </c>
      <c r="T159" s="32" t="s">
        <v>50</v>
      </c>
      <c r="U159" s="75">
        <v>487</v>
      </c>
      <c r="V159" s="76">
        <v>137.85999999999999</v>
      </c>
      <c r="W159" s="75">
        <v>54</v>
      </c>
      <c r="X159" s="76">
        <v>104.5</v>
      </c>
      <c r="Y159" s="75">
        <v>25</v>
      </c>
      <c r="Z159" s="76">
        <v>127.1</v>
      </c>
      <c r="AA159" s="75">
        <v>19</v>
      </c>
      <c r="AB159" s="76">
        <v>337.5</v>
      </c>
      <c r="AC159" s="75">
        <v>9</v>
      </c>
      <c r="AD159" s="76">
        <v>141.9</v>
      </c>
      <c r="AE159" s="75">
        <v>10</v>
      </c>
      <c r="AF159" s="76">
        <v>110.2</v>
      </c>
      <c r="AG159" s="75">
        <v>3</v>
      </c>
      <c r="AH159" s="76">
        <v>5.9</v>
      </c>
      <c r="AI159" s="75">
        <v>4</v>
      </c>
      <c r="AJ159" s="76">
        <v>248.2</v>
      </c>
      <c r="AK159" s="75">
        <v>611</v>
      </c>
      <c r="AL159" s="76">
        <v>1213.1599999999999</v>
      </c>
    </row>
    <row r="160" spans="1:38" ht="13.5">
      <c r="A160" s="32" t="s">
        <v>22</v>
      </c>
      <c r="B160" s="75">
        <v>410</v>
      </c>
      <c r="C160" s="76">
        <v>111.41</v>
      </c>
      <c r="D160" s="75">
        <v>37</v>
      </c>
      <c r="E160" s="76">
        <v>72.2</v>
      </c>
      <c r="F160" s="75">
        <v>11</v>
      </c>
      <c r="G160" s="76">
        <v>52.9</v>
      </c>
      <c r="H160" s="75">
        <v>9</v>
      </c>
      <c r="I160" s="76">
        <v>173.1</v>
      </c>
      <c r="J160" s="75">
        <v>3</v>
      </c>
      <c r="K160" s="76">
        <v>57.6</v>
      </c>
      <c r="L160" s="75">
        <v>0</v>
      </c>
      <c r="M160" s="76">
        <v>0</v>
      </c>
      <c r="N160" s="75">
        <v>3</v>
      </c>
      <c r="O160" s="76">
        <v>6.1</v>
      </c>
      <c r="P160" s="75">
        <v>0</v>
      </c>
      <c r="Q160" s="76">
        <v>0</v>
      </c>
      <c r="R160" s="75">
        <v>473</v>
      </c>
      <c r="S160" s="76">
        <v>473.31</v>
      </c>
      <c r="T160" s="32" t="s">
        <v>22</v>
      </c>
      <c r="U160" s="75">
        <v>404</v>
      </c>
      <c r="V160" s="76">
        <v>109.13</v>
      </c>
      <c r="W160" s="75">
        <v>37</v>
      </c>
      <c r="X160" s="76">
        <v>68.3</v>
      </c>
      <c r="Y160" s="75">
        <v>10</v>
      </c>
      <c r="Z160" s="76">
        <v>45.8</v>
      </c>
      <c r="AA160" s="75">
        <v>8</v>
      </c>
      <c r="AB160" s="76">
        <v>142.3</v>
      </c>
      <c r="AC160" s="75">
        <v>3</v>
      </c>
      <c r="AD160" s="76">
        <v>55.5</v>
      </c>
      <c r="AE160" s="75">
        <v>0</v>
      </c>
      <c r="AF160" s="76">
        <v>0</v>
      </c>
      <c r="AG160" s="75">
        <v>3</v>
      </c>
      <c r="AH160" s="76">
        <v>5.9</v>
      </c>
      <c r="AI160" s="75">
        <v>0</v>
      </c>
      <c r="AJ160" s="76">
        <v>0</v>
      </c>
      <c r="AK160" s="75">
        <v>465</v>
      </c>
      <c r="AL160" s="76">
        <v>426.93</v>
      </c>
    </row>
    <row r="161" spans="1:38" ht="13.5">
      <c r="A161" s="32" t="s">
        <v>23</v>
      </c>
      <c r="B161" s="75">
        <v>54</v>
      </c>
      <c r="C161" s="76">
        <v>19.51</v>
      </c>
      <c r="D161" s="75">
        <v>15</v>
      </c>
      <c r="E161" s="76">
        <v>32.6</v>
      </c>
      <c r="F161" s="75">
        <v>5</v>
      </c>
      <c r="G161" s="76">
        <v>22.8</v>
      </c>
      <c r="H161" s="75">
        <v>3</v>
      </c>
      <c r="I161" s="76">
        <v>89.4</v>
      </c>
      <c r="J161" s="75">
        <v>0</v>
      </c>
      <c r="K161" s="76">
        <v>0</v>
      </c>
      <c r="L161" s="75">
        <v>1</v>
      </c>
      <c r="M161" s="76">
        <v>6.2</v>
      </c>
      <c r="N161" s="75">
        <v>1</v>
      </c>
      <c r="O161" s="76">
        <v>6</v>
      </c>
      <c r="P161" s="75">
        <v>0</v>
      </c>
      <c r="Q161" s="76">
        <v>0</v>
      </c>
      <c r="R161" s="75">
        <v>79</v>
      </c>
      <c r="S161" s="76">
        <v>176.51</v>
      </c>
      <c r="T161" s="32" t="s">
        <v>23</v>
      </c>
      <c r="U161" s="75">
        <v>52</v>
      </c>
      <c r="V161" s="76">
        <v>18.72</v>
      </c>
      <c r="W161" s="75">
        <v>14</v>
      </c>
      <c r="X161" s="76">
        <v>30.3</v>
      </c>
      <c r="Y161" s="75">
        <v>5</v>
      </c>
      <c r="Z161" s="76">
        <v>22.7</v>
      </c>
      <c r="AA161" s="75">
        <v>3</v>
      </c>
      <c r="AB161" s="76">
        <v>84.2</v>
      </c>
      <c r="AC161" s="75">
        <v>0</v>
      </c>
      <c r="AD161" s="76">
        <v>0</v>
      </c>
      <c r="AE161" s="75">
        <v>1</v>
      </c>
      <c r="AF161" s="76">
        <v>6.2</v>
      </c>
      <c r="AG161" s="75">
        <v>0</v>
      </c>
      <c r="AH161" s="76">
        <v>0</v>
      </c>
      <c r="AI161" s="75">
        <v>0</v>
      </c>
      <c r="AJ161" s="76">
        <v>0</v>
      </c>
      <c r="AK161" s="75">
        <v>75</v>
      </c>
      <c r="AL161" s="76">
        <v>162.12</v>
      </c>
    </row>
    <row r="162" spans="1:38" ht="13.5">
      <c r="A162" s="32" t="s">
        <v>24</v>
      </c>
      <c r="B162" s="75">
        <v>31</v>
      </c>
      <c r="C162" s="76">
        <v>10.06</v>
      </c>
      <c r="D162" s="75">
        <v>3</v>
      </c>
      <c r="E162" s="76">
        <v>5.9</v>
      </c>
      <c r="F162" s="75">
        <v>11</v>
      </c>
      <c r="G162" s="76">
        <v>68.7</v>
      </c>
      <c r="H162" s="75">
        <v>10</v>
      </c>
      <c r="I162" s="76">
        <v>260.8</v>
      </c>
      <c r="J162" s="75">
        <v>6</v>
      </c>
      <c r="K162" s="76">
        <v>115.7</v>
      </c>
      <c r="L162" s="75">
        <v>9</v>
      </c>
      <c r="M162" s="76">
        <v>118.4</v>
      </c>
      <c r="N162" s="75">
        <v>0</v>
      </c>
      <c r="O162" s="76">
        <v>0</v>
      </c>
      <c r="P162" s="75">
        <v>5</v>
      </c>
      <c r="Q162" s="76">
        <v>507.9</v>
      </c>
      <c r="R162" s="75">
        <v>75</v>
      </c>
      <c r="S162" s="76">
        <v>1087.46</v>
      </c>
      <c r="T162" s="32" t="s">
        <v>24</v>
      </c>
      <c r="U162" s="75">
        <v>31</v>
      </c>
      <c r="V162" s="76">
        <v>10.01</v>
      </c>
      <c r="W162" s="75">
        <v>3</v>
      </c>
      <c r="X162" s="76">
        <v>5.9</v>
      </c>
      <c r="Y162" s="75">
        <v>10</v>
      </c>
      <c r="Z162" s="76">
        <v>58.6</v>
      </c>
      <c r="AA162" s="75">
        <v>8</v>
      </c>
      <c r="AB162" s="76">
        <v>111</v>
      </c>
      <c r="AC162" s="75">
        <v>6</v>
      </c>
      <c r="AD162" s="76">
        <v>86.4</v>
      </c>
      <c r="AE162" s="75">
        <v>9</v>
      </c>
      <c r="AF162" s="76">
        <v>104</v>
      </c>
      <c r="AG162" s="75">
        <v>0</v>
      </c>
      <c r="AH162" s="76">
        <v>0</v>
      </c>
      <c r="AI162" s="75">
        <v>4</v>
      </c>
      <c r="AJ162" s="76">
        <v>248.2</v>
      </c>
      <c r="AK162" s="75">
        <v>71</v>
      </c>
      <c r="AL162" s="76">
        <v>624.11</v>
      </c>
    </row>
    <row r="163" spans="1:38" ht="13.5">
      <c r="A163" s="32" t="s">
        <v>51</v>
      </c>
      <c r="B163" s="75">
        <v>1773</v>
      </c>
      <c r="C163" s="76">
        <v>480.27</v>
      </c>
      <c r="D163" s="75">
        <v>366</v>
      </c>
      <c r="E163" s="76">
        <v>704.3</v>
      </c>
      <c r="F163" s="75">
        <v>82</v>
      </c>
      <c r="G163" s="76">
        <v>418.40000000000003</v>
      </c>
      <c r="H163" s="75">
        <v>40</v>
      </c>
      <c r="I163" s="76">
        <v>888.1999999999999</v>
      </c>
      <c r="J163" s="75">
        <v>3</v>
      </c>
      <c r="K163" s="76">
        <v>100.6</v>
      </c>
      <c r="L163" s="75">
        <v>16</v>
      </c>
      <c r="M163" s="76">
        <v>347.79999999999995</v>
      </c>
      <c r="N163" s="75">
        <v>7</v>
      </c>
      <c r="O163" s="76">
        <v>156.4</v>
      </c>
      <c r="P163" s="75">
        <v>9</v>
      </c>
      <c r="Q163" s="76">
        <v>592.7</v>
      </c>
      <c r="R163" s="75">
        <v>2296</v>
      </c>
      <c r="S163" s="76">
        <v>3688.6699999999996</v>
      </c>
      <c r="T163" s="32" t="s">
        <v>51</v>
      </c>
      <c r="U163" s="75">
        <v>1670</v>
      </c>
      <c r="V163" s="76">
        <v>443.33</v>
      </c>
      <c r="W163" s="75">
        <v>292</v>
      </c>
      <c r="X163" s="76">
        <v>481.3</v>
      </c>
      <c r="Y163" s="75">
        <v>65</v>
      </c>
      <c r="Z163" s="76">
        <v>270.8</v>
      </c>
      <c r="AA163" s="75">
        <v>34</v>
      </c>
      <c r="AB163" s="76">
        <v>460.65999999999997</v>
      </c>
      <c r="AC163" s="75">
        <v>3</v>
      </c>
      <c r="AD163" s="76">
        <v>90.8</v>
      </c>
      <c r="AE163" s="75">
        <v>12</v>
      </c>
      <c r="AF163" s="76">
        <v>136.6</v>
      </c>
      <c r="AG163" s="75">
        <v>5</v>
      </c>
      <c r="AH163" s="76">
        <v>140.1</v>
      </c>
      <c r="AI163" s="75">
        <v>8</v>
      </c>
      <c r="AJ163" s="76">
        <v>490.70000000000005</v>
      </c>
      <c r="AK163" s="75">
        <v>2089</v>
      </c>
      <c r="AL163" s="76">
        <v>2514.29</v>
      </c>
    </row>
    <row r="164" spans="1:38" ht="13.5">
      <c r="A164" s="32" t="s">
        <v>22</v>
      </c>
      <c r="B164" s="75">
        <v>1720</v>
      </c>
      <c r="C164" s="76">
        <v>464.47</v>
      </c>
      <c r="D164" s="75">
        <v>325</v>
      </c>
      <c r="E164" s="76">
        <v>623.3</v>
      </c>
      <c r="F164" s="75">
        <v>69</v>
      </c>
      <c r="G164" s="76">
        <v>348</v>
      </c>
      <c r="H164" s="75">
        <v>34</v>
      </c>
      <c r="I164" s="76">
        <v>653.3</v>
      </c>
      <c r="J164" s="75">
        <v>3</v>
      </c>
      <c r="K164" s="76">
        <v>100.6</v>
      </c>
      <c r="L164" s="75">
        <v>9</v>
      </c>
      <c r="M164" s="76">
        <v>141.7</v>
      </c>
      <c r="N164" s="75">
        <v>6</v>
      </c>
      <c r="O164" s="76">
        <v>151.8</v>
      </c>
      <c r="P164" s="75">
        <v>4</v>
      </c>
      <c r="Q164" s="76">
        <v>234.8</v>
      </c>
      <c r="R164" s="75">
        <v>2170</v>
      </c>
      <c r="S164" s="76">
        <v>2717.97</v>
      </c>
      <c r="T164" s="32" t="s">
        <v>22</v>
      </c>
      <c r="U164" s="75">
        <v>1620</v>
      </c>
      <c r="V164" s="76">
        <v>429.19</v>
      </c>
      <c r="W164" s="75">
        <v>274</v>
      </c>
      <c r="X164" s="76">
        <v>448.5</v>
      </c>
      <c r="Y164" s="75">
        <v>58</v>
      </c>
      <c r="Z164" s="76">
        <v>244.8</v>
      </c>
      <c r="AA164" s="75">
        <v>30</v>
      </c>
      <c r="AB164" s="76">
        <v>387.6</v>
      </c>
      <c r="AC164" s="75">
        <v>3</v>
      </c>
      <c r="AD164" s="76">
        <v>90.8</v>
      </c>
      <c r="AE164" s="75">
        <v>8</v>
      </c>
      <c r="AF164" s="76">
        <v>55.3</v>
      </c>
      <c r="AG164" s="75">
        <v>5</v>
      </c>
      <c r="AH164" s="76">
        <v>140.1</v>
      </c>
      <c r="AI164" s="75">
        <v>4</v>
      </c>
      <c r="AJ164" s="76">
        <v>233.4</v>
      </c>
      <c r="AK164" s="75">
        <v>2002</v>
      </c>
      <c r="AL164" s="76">
        <v>2029.69</v>
      </c>
    </row>
    <row r="165" spans="1:38" ht="13.5">
      <c r="A165" s="32" t="s">
        <v>23</v>
      </c>
      <c r="B165" s="75">
        <v>50</v>
      </c>
      <c r="C165" s="76">
        <v>15.15</v>
      </c>
      <c r="D165" s="75">
        <v>30</v>
      </c>
      <c r="E165" s="76">
        <v>59</v>
      </c>
      <c r="F165" s="75">
        <v>4</v>
      </c>
      <c r="G165" s="76">
        <v>22.3</v>
      </c>
      <c r="H165" s="75">
        <v>2</v>
      </c>
      <c r="I165" s="76">
        <v>108.3</v>
      </c>
      <c r="J165" s="75">
        <v>0</v>
      </c>
      <c r="K165" s="76">
        <v>0</v>
      </c>
      <c r="L165" s="75">
        <v>2</v>
      </c>
      <c r="M165" s="76">
        <v>40.5</v>
      </c>
      <c r="N165" s="75">
        <v>1</v>
      </c>
      <c r="O165" s="76">
        <v>4.6</v>
      </c>
      <c r="P165" s="75">
        <v>0</v>
      </c>
      <c r="Q165" s="76">
        <v>0</v>
      </c>
      <c r="R165" s="75">
        <v>89</v>
      </c>
      <c r="S165" s="76">
        <v>249.85</v>
      </c>
      <c r="T165" s="32" t="s">
        <v>23</v>
      </c>
      <c r="U165" s="75">
        <v>47</v>
      </c>
      <c r="V165" s="76">
        <v>13.49</v>
      </c>
      <c r="W165" s="75">
        <v>16</v>
      </c>
      <c r="X165" s="76">
        <v>27.9</v>
      </c>
      <c r="Y165" s="75">
        <v>3</v>
      </c>
      <c r="Z165" s="76">
        <v>10.2</v>
      </c>
      <c r="AA165" s="75">
        <v>1</v>
      </c>
      <c r="AB165" s="76">
        <v>33.4</v>
      </c>
      <c r="AC165" s="75">
        <v>0</v>
      </c>
      <c r="AD165" s="76">
        <v>0</v>
      </c>
      <c r="AE165" s="75">
        <v>2</v>
      </c>
      <c r="AF165" s="76">
        <v>2.1</v>
      </c>
      <c r="AG165" s="75">
        <v>0</v>
      </c>
      <c r="AH165" s="76">
        <v>0</v>
      </c>
      <c r="AI165" s="75">
        <v>0</v>
      </c>
      <c r="AJ165" s="76">
        <v>0</v>
      </c>
      <c r="AK165" s="75">
        <v>69</v>
      </c>
      <c r="AL165" s="76">
        <v>87.09</v>
      </c>
    </row>
    <row r="166" spans="1:38" ht="13.5">
      <c r="A166" s="32" t="s">
        <v>24</v>
      </c>
      <c r="B166" s="75">
        <v>3</v>
      </c>
      <c r="C166" s="76">
        <v>0.65</v>
      </c>
      <c r="D166" s="75">
        <v>11</v>
      </c>
      <c r="E166" s="76">
        <v>22</v>
      </c>
      <c r="F166" s="75">
        <v>9</v>
      </c>
      <c r="G166" s="76">
        <v>48.1</v>
      </c>
      <c r="H166" s="75">
        <v>4</v>
      </c>
      <c r="I166" s="76">
        <v>126.6</v>
      </c>
      <c r="J166" s="75">
        <v>0</v>
      </c>
      <c r="K166" s="76">
        <v>0</v>
      </c>
      <c r="L166" s="75">
        <v>5</v>
      </c>
      <c r="M166" s="76">
        <v>165.6</v>
      </c>
      <c r="N166" s="75">
        <v>0</v>
      </c>
      <c r="O166" s="76">
        <v>0</v>
      </c>
      <c r="P166" s="75">
        <v>5</v>
      </c>
      <c r="Q166" s="76">
        <v>357.9</v>
      </c>
      <c r="R166" s="75">
        <v>37</v>
      </c>
      <c r="S166" s="76">
        <v>720.85</v>
      </c>
      <c r="T166" s="32" t="s">
        <v>24</v>
      </c>
      <c r="U166" s="75">
        <v>3</v>
      </c>
      <c r="V166" s="76">
        <v>0.65</v>
      </c>
      <c r="W166" s="75">
        <v>2</v>
      </c>
      <c r="X166" s="76">
        <v>4.9</v>
      </c>
      <c r="Y166" s="75">
        <v>4</v>
      </c>
      <c r="Z166" s="76">
        <v>15.8</v>
      </c>
      <c r="AA166" s="75">
        <v>3</v>
      </c>
      <c r="AB166" s="76">
        <v>39.66</v>
      </c>
      <c r="AC166" s="75">
        <v>0</v>
      </c>
      <c r="AD166" s="76">
        <v>0</v>
      </c>
      <c r="AE166" s="75">
        <v>2</v>
      </c>
      <c r="AF166" s="76">
        <v>79.2</v>
      </c>
      <c r="AG166" s="75">
        <v>0</v>
      </c>
      <c r="AH166" s="76">
        <v>0</v>
      </c>
      <c r="AI166" s="75">
        <v>4</v>
      </c>
      <c r="AJ166" s="76">
        <v>257.3</v>
      </c>
      <c r="AK166" s="75">
        <v>18</v>
      </c>
      <c r="AL166" s="76">
        <v>397.51</v>
      </c>
    </row>
    <row r="167" spans="1:142" ht="13.5">
      <c r="A167" s="32" t="s">
        <v>52</v>
      </c>
      <c r="B167" s="75">
        <v>1652</v>
      </c>
      <c r="C167" s="76">
        <v>396.21999999999997</v>
      </c>
      <c r="D167" s="75">
        <v>288</v>
      </c>
      <c r="E167" s="76">
        <v>609.23</v>
      </c>
      <c r="F167" s="75">
        <v>76</v>
      </c>
      <c r="G167" s="76">
        <v>524.5</v>
      </c>
      <c r="H167" s="75">
        <v>60</v>
      </c>
      <c r="I167" s="76">
        <v>1492.2</v>
      </c>
      <c r="J167" s="75">
        <v>14</v>
      </c>
      <c r="K167" s="76">
        <v>309.3</v>
      </c>
      <c r="L167" s="75">
        <v>23</v>
      </c>
      <c r="M167" s="76">
        <v>508.78999999999996</v>
      </c>
      <c r="N167" s="75">
        <v>5</v>
      </c>
      <c r="O167" s="76">
        <v>9.91</v>
      </c>
      <c r="P167" s="75">
        <v>13</v>
      </c>
      <c r="Q167" s="76">
        <v>2368</v>
      </c>
      <c r="R167" s="75">
        <v>2131</v>
      </c>
      <c r="S167" s="76">
        <v>6218.15</v>
      </c>
      <c r="T167" s="32" t="s">
        <v>52</v>
      </c>
      <c r="U167" s="75">
        <v>1572</v>
      </c>
      <c r="V167" s="76">
        <v>368.13</v>
      </c>
      <c r="W167" s="75">
        <v>247</v>
      </c>
      <c r="X167" s="76">
        <v>476.39000000000004</v>
      </c>
      <c r="Y167" s="75">
        <v>67</v>
      </c>
      <c r="Z167" s="76">
        <v>347.16</v>
      </c>
      <c r="AA167" s="75">
        <v>58</v>
      </c>
      <c r="AB167" s="76">
        <v>968.97</v>
      </c>
      <c r="AC167" s="75">
        <v>13</v>
      </c>
      <c r="AD167" s="76">
        <v>204.4</v>
      </c>
      <c r="AE167" s="75">
        <v>22</v>
      </c>
      <c r="AF167" s="76">
        <v>128.06</v>
      </c>
      <c r="AG167" s="75">
        <v>4</v>
      </c>
      <c r="AH167" s="76">
        <v>7.4</v>
      </c>
      <c r="AI167" s="75">
        <v>13</v>
      </c>
      <c r="AJ167" s="76">
        <v>1379.6999999999998</v>
      </c>
      <c r="AK167" s="75">
        <v>1996</v>
      </c>
      <c r="AL167" s="76">
        <v>3880.21</v>
      </c>
      <c r="AM167" s="24"/>
      <c r="AN167" s="24"/>
      <c r="AO167" s="25"/>
      <c r="AP167" s="24"/>
      <c r="AQ167" s="24"/>
      <c r="AR167" s="24"/>
      <c r="AS167" s="24"/>
      <c r="AT167" s="25"/>
      <c r="AU167" s="24"/>
      <c r="AV167" s="24"/>
      <c r="AW167" s="24"/>
      <c r="AX167" s="24"/>
      <c r="AY167" s="24"/>
      <c r="AZ167" s="24"/>
      <c r="BA167" s="24"/>
      <c r="BB167" s="25"/>
      <c r="BC167" s="24"/>
      <c r="BD167" s="24"/>
      <c r="BE167" s="24"/>
      <c r="BF167" s="24"/>
      <c r="BG167" s="24"/>
      <c r="BH167" s="24"/>
      <c r="BI167" s="24"/>
      <c r="BJ167" s="25"/>
      <c r="BK167" s="24"/>
      <c r="BL167" s="24"/>
      <c r="BM167" s="24"/>
      <c r="BN167" s="24"/>
      <c r="BO167" s="24"/>
      <c r="BP167" s="24"/>
      <c r="BQ167" s="24"/>
      <c r="BR167" s="25"/>
      <c r="BS167" s="25"/>
      <c r="BT167" s="25"/>
      <c r="BU167" s="25"/>
      <c r="BV167" s="24"/>
      <c r="BW167" s="25"/>
      <c r="BX167" s="25"/>
      <c r="BY167" s="25"/>
      <c r="BZ167" s="25"/>
      <c r="CA167" s="25"/>
      <c r="CB167" s="25"/>
      <c r="CC167" s="25"/>
      <c r="CD167" s="24"/>
      <c r="CE167" s="25"/>
      <c r="CF167" s="25"/>
      <c r="CG167" s="25"/>
      <c r="CH167" s="25"/>
      <c r="CI167" s="25"/>
      <c r="CJ167" s="25"/>
      <c r="CK167" s="25"/>
      <c r="CL167" s="24"/>
      <c r="CM167" s="25"/>
      <c r="CN167" s="25"/>
      <c r="CO167" s="25"/>
      <c r="CP167" s="25"/>
      <c r="CQ167" s="25"/>
      <c r="CR167" s="25"/>
      <c r="CS167" s="25"/>
      <c r="CT167" s="24"/>
      <c r="CU167" s="25"/>
      <c r="CV167" s="25"/>
      <c r="CW167" s="25"/>
      <c r="CX167" s="25"/>
      <c r="CY167" s="25"/>
      <c r="CZ167" s="25"/>
      <c r="DA167" s="25"/>
      <c r="DB167" s="24"/>
      <c r="DC167" s="25"/>
      <c r="DD167" s="25"/>
      <c r="DE167" s="25"/>
      <c r="DF167" s="25"/>
      <c r="DG167" s="25"/>
      <c r="DH167" s="25"/>
      <c r="DI167" s="25"/>
      <c r="DJ167" s="24"/>
      <c r="DK167" s="25"/>
      <c r="DL167" s="25"/>
      <c r="DM167" s="25"/>
      <c r="DN167" s="25"/>
      <c r="DO167" s="25"/>
      <c r="DP167" s="25"/>
      <c r="DQ167" s="25"/>
      <c r="DR167" s="24"/>
      <c r="DS167" s="25"/>
      <c r="DT167" s="25"/>
      <c r="DU167" s="25"/>
      <c r="DV167" s="25"/>
      <c r="DW167" s="25"/>
      <c r="DX167" s="25"/>
      <c r="DY167" s="25"/>
      <c r="DZ167" s="24"/>
      <c r="EA167" s="25"/>
      <c r="EB167" s="25"/>
      <c r="EC167" s="25"/>
      <c r="ED167" s="25"/>
      <c r="EE167" s="25"/>
      <c r="EF167" s="25"/>
      <c r="EG167" s="25"/>
      <c r="EH167" s="24"/>
      <c r="EI167" s="25"/>
      <c r="EJ167" s="25"/>
      <c r="EK167" s="25"/>
      <c r="EL167" s="25"/>
    </row>
    <row r="168" spans="1:41" ht="13.5">
      <c r="A168" s="32" t="s">
        <v>22</v>
      </c>
      <c r="B168" s="75">
        <v>1269</v>
      </c>
      <c r="C168" s="76">
        <v>300.9</v>
      </c>
      <c r="D168" s="75">
        <v>189</v>
      </c>
      <c r="E168" s="76">
        <v>360.33</v>
      </c>
      <c r="F168" s="75">
        <v>41</v>
      </c>
      <c r="G168" s="76">
        <v>234.1</v>
      </c>
      <c r="H168" s="75">
        <v>21</v>
      </c>
      <c r="I168" s="76">
        <v>415.5</v>
      </c>
      <c r="J168" s="75">
        <v>5</v>
      </c>
      <c r="K168" s="76">
        <v>86.7</v>
      </c>
      <c r="L168" s="75">
        <v>11</v>
      </c>
      <c r="M168" s="76">
        <v>49.99</v>
      </c>
      <c r="N168" s="75">
        <v>3</v>
      </c>
      <c r="O168" s="76">
        <v>3.61</v>
      </c>
      <c r="P168" s="75">
        <v>1</v>
      </c>
      <c r="Q168" s="76">
        <v>54.8</v>
      </c>
      <c r="R168" s="75">
        <v>1540</v>
      </c>
      <c r="S168" s="76">
        <v>1505.93</v>
      </c>
      <c r="T168" s="32" t="s">
        <v>22</v>
      </c>
      <c r="U168" s="75">
        <v>1228</v>
      </c>
      <c r="V168" s="76">
        <v>283.57</v>
      </c>
      <c r="W168" s="75">
        <v>172</v>
      </c>
      <c r="X168" s="76">
        <v>293.79</v>
      </c>
      <c r="Y168" s="75">
        <v>37</v>
      </c>
      <c r="Z168" s="76">
        <v>178.56</v>
      </c>
      <c r="AA168" s="75">
        <v>21</v>
      </c>
      <c r="AB168" s="76">
        <v>303.09</v>
      </c>
      <c r="AC168" s="75">
        <v>5</v>
      </c>
      <c r="AD168" s="76">
        <v>51.5</v>
      </c>
      <c r="AE168" s="75">
        <v>11</v>
      </c>
      <c r="AF168" s="76">
        <v>42.01</v>
      </c>
      <c r="AG168" s="75">
        <v>3</v>
      </c>
      <c r="AH168" s="76">
        <v>3.6</v>
      </c>
      <c r="AI168" s="75">
        <v>1</v>
      </c>
      <c r="AJ168" s="76">
        <v>54.8</v>
      </c>
      <c r="AK168" s="75">
        <v>1478</v>
      </c>
      <c r="AL168" s="76">
        <v>1210.92</v>
      </c>
      <c r="AN168" s="24"/>
      <c r="AO168" s="25"/>
    </row>
    <row r="169" spans="1:41" ht="13.5">
      <c r="A169" s="32" t="s">
        <v>23</v>
      </c>
      <c r="B169" s="75">
        <v>316</v>
      </c>
      <c r="C169" s="76">
        <v>79.05</v>
      </c>
      <c r="D169" s="75">
        <v>69</v>
      </c>
      <c r="E169" s="76">
        <v>183.7</v>
      </c>
      <c r="F169" s="75">
        <v>19</v>
      </c>
      <c r="G169" s="76">
        <v>143.3</v>
      </c>
      <c r="H169" s="75">
        <v>13</v>
      </c>
      <c r="I169" s="76">
        <v>267</v>
      </c>
      <c r="J169" s="75">
        <v>4</v>
      </c>
      <c r="K169" s="76">
        <v>117.6</v>
      </c>
      <c r="L169" s="75">
        <v>3</v>
      </c>
      <c r="M169" s="76">
        <v>52.1</v>
      </c>
      <c r="N169" s="75">
        <v>1</v>
      </c>
      <c r="O169" s="76">
        <v>2.4</v>
      </c>
      <c r="P169" s="75">
        <v>1</v>
      </c>
      <c r="Q169" s="76">
        <v>0.3</v>
      </c>
      <c r="R169" s="75">
        <v>426</v>
      </c>
      <c r="S169" s="76">
        <v>845.45</v>
      </c>
      <c r="T169" s="32" t="s">
        <v>23</v>
      </c>
      <c r="U169" s="75">
        <v>278</v>
      </c>
      <c r="V169" s="76">
        <v>69.02</v>
      </c>
      <c r="W169" s="75">
        <v>57</v>
      </c>
      <c r="X169" s="76">
        <v>155.3</v>
      </c>
      <c r="Y169" s="75">
        <v>20</v>
      </c>
      <c r="Z169" s="76">
        <v>130.4</v>
      </c>
      <c r="AA169" s="75">
        <v>11</v>
      </c>
      <c r="AB169" s="76">
        <v>200.9</v>
      </c>
      <c r="AC169" s="75">
        <v>4</v>
      </c>
      <c r="AD169" s="76">
        <v>84.4</v>
      </c>
      <c r="AE169" s="75">
        <v>2</v>
      </c>
      <c r="AF169" s="76">
        <v>21</v>
      </c>
      <c r="AG169" s="75">
        <v>0</v>
      </c>
      <c r="AH169" s="76">
        <v>0</v>
      </c>
      <c r="AI169" s="75">
        <v>1</v>
      </c>
      <c r="AJ169" s="76">
        <v>0.3</v>
      </c>
      <c r="AK169" s="75">
        <v>373</v>
      </c>
      <c r="AL169" s="76">
        <v>661.32</v>
      </c>
      <c r="AN169" s="24"/>
      <c r="AO169" s="25"/>
    </row>
    <row r="170" spans="1:41" ht="13.5">
      <c r="A170" s="32" t="s">
        <v>24</v>
      </c>
      <c r="B170" s="75">
        <v>67</v>
      </c>
      <c r="C170" s="76">
        <v>16.27</v>
      </c>
      <c r="D170" s="75">
        <v>30</v>
      </c>
      <c r="E170" s="76">
        <v>65.2</v>
      </c>
      <c r="F170" s="75">
        <v>16</v>
      </c>
      <c r="G170" s="76">
        <v>147.1</v>
      </c>
      <c r="H170" s="75">
        <v>26</v>
      </c>
      <c r="I170" s="76">
        <v>809.7</v>
      </c>
      <c r="J170" s="75">
        <v>5</v>
      </c>
      <c r="K170" s="76">
        <v>105</v>
      </c>
      <c r="L170" s="75">
        <v>9</v>
      </c>
      <c r="M170" s="76">
        <v>406.7</v>
      </c>
      <c r="N170" s="75">
        <v>1</v>
      </c>
      <c r="O170" s="76">
        <v>3.9</v>
      </c>
      <c r="P170" s="75">
        <v>11</v>
      </c>
      <c r="Q170" s="76">
        <v>2312.9</v>
      </c>
      <c r="R170" s="75">
        <v>165</v>
      </c>
      <c r="S170" s="76">
        <v>3866.77</v>
      </c>
      <c r="T170" s="32" t="s">
        <v>24</v>
      </c>
      <c r="U170" s="75">
        <v>66</v>
      </c>
      <c r="V170" s="76">
        <v>15.54</v>
      </c>
      <c r="W170" s="75">
        <v>18</v>
      </c>
      <c r="X170" s="76">
        <v>27.3</v>
      </c>
      <c r="Y170" s="75">
        <v>10</v>
      </c>
      <c r="Z170" s="76">
        <v>38.2</v>
      </c>
      <c r="AA170" s="75">
        <v>26</v>
      </c>
      <c r="AB170" s="76">
        <v>464.98</v>
      </c>
      <c r="AC170" s="75">
        <v>4</v>
      </c>
      <c r="AD170" s="76">
        <v>68.5</v>
      </c>
      <c r="AE170" s="75">
        <v>9</v>
      </c>
      <c r="AF170" s="76">
        <v>65.05</v>
      </c>
      <c r="AG170" s="75">
        <v>1</v>
      </c>
      <c r="AH170" s="76">
        <v>3.8</v>
      </c>
      <c r="AI170" s="75">
        <v>11</v>
      </c>
      <c r="AJ170" s="76">
        <v>1324.6</v>
      </c>
      <c r="AK170" s="75">
        <v>145</v>
      </c>
      <c r="AL170" s="76">
        <v>2007.97</v>
      </c>
      <c r="AN170" s="24"/>
      <c r="AO170" s="25"/>
    </row>
    <row r="171" spans="1:38" ht="13.5">
      <c r="A171" s="32" t="s">
        <v>53</v>
      </c>
      <c r="B171" s="75">
        <v>168</v>
      </c>
      <c r="C171" s="76">
        <v>46</v>
      </c>
      <c r="D171" s="75">
        <v>56</v>
      </c>
      <c r="E171" s="76">
        <v>109.39999999999999</v>
      </c>
      <c r="F171" s="75">
        <v>23</v>
      </c>
      <c r="G171" s="76">
        <v>132.2</v>
      </c>
      <c r="H171" s="75">
        <v>14</v>
      </c>
      <c r="I171" s="76">
        <v>261.4</v>
      </c>
      <c r="J171" s="75">
        <v>6</v>
      </c>
      <c r="K171" s="76">
        <v>97.3</v>
      </c>
      <c r="L171" s="75">
        <v>4</v>
      </c>
      <c r="M171" s="76">
        <v>29.3</v>
      </c>
      <c r="N171" s="75">
        <v>4</v>
      </c>
      <c r="O171" s="76">
        <v>211.2</v>
      </c>
      <c r="P171" s="75">
        <v>2</v>
      </c>
      <c r="Q171" s="76">
        <v>710.3</v>
      </c>
      <c r="R171" s="75">
        <v>277</v>
      </c>
      <c r="S171" s="76">
        <v>1597.1</v>
      </c>
      <c r="T171" s="32" t="s">
        <v>53</v>
      </c>
      <c r="U171" s="75">
        <v>167</v>
      </c>
      <c r="V171" s="76">
        <v>42.24</v>
      </c>
      <c r="W171" s="75">
        <v>55</v>
      </c>
      <c r="X171" s="76">
        <v>104.8</v>
      </c>
      <c r="Y171" s="75">
        <v>22</v>
      </c>
      <c r="Z171" s="76">
        <v>115.3</v>
      </c>
      <c r="AA171" s="75">
        <v>13</v>
      </c>
      <c r="AB171" s="76">
        <v>172.6</v>
      </c>
      <c r="AC171" s="75">
        <v>5</v>
      </c>
      <c r="AD171" s="76">
        <v>60.400000000000006</v>
      </c>
      <c r="AE171" s="75">
        <v>4</v>
      </c>
      <c r="AF171" s="76">
        <v>29.3</v>
      </c>
      <c r="AG171" s="75">
        <v>5</v>
      </c>
      <c r="AH171" s="76">
        <v>56</v>
      </c>
      <c r="AI171" s="75">
        <v>2</v>
      </c>
      <c r="AJ171" s="76">
        <v>558.6</v>
      </c>
      <c r="AK171" s="75">
        <v>273</v>
      </c>
      <c r="AL171" s="76">
        <v>1139.24</v>
      </c>
    </row>
    <row r="172" spans="1:38" ht="13.5">
      <c r="A172" s="32" t="s">
        <v>22</v>
      </c>
      <c r="B172" s="75">
        <v>90</v>
      </c>
      <c r="C172" s="76">
        <v>23.89</v>
      </c>
      <c r="D172" s="75">
        <v>27</v>
      </c>
      <c r="E172" s="76">
        <v>52.2</v>
      </c>
      <c r="F172" s="75">
        <v>8</v>
      </c>
      <c r="G172" s="76">
        <v>41</v>
      </c>
      <c r="H172" s="75">
        <v>2</v>
      </c>
      <c r="I172" s="76">
        <v>35.9</v>
      </c>
      <c r="J172" s="75">
        <v>1</v>
      </c>
      <c r="K172" s="76">
        <v>31</v>
      </c>
      <c r="L172" s="75">
        <v>0</v>
      </c>
      <c r="M172" s="76">
        <v>0</v>
      </c>
      <c r="N172" s="75">
        <v>1</v>
      </c>
      <c r="O172" s="76">
        <v>17.2</v>
      </c>
      <c r="P172" s="75">
        <v>0</v>
      </c>
      <c r="Q172" s="76">
        <v>0</v>
      </c>
      <c r="R172" s="75">
        <v>129</v>
      </c>
      <c r="S172" s="76">
        <v>201.19</v>
      </c>
      <c r="T172" s="32" t="s">
        <v>22</v>
      </c>
      <c r="U172" s="75">
        <v>87</v>
      </c>
      <c r="V172" s="76">
        <v>21.1</v>
      </c>
      <c r="W172" s="75">
        <v>26</v>
      </c>
      <c r="X172" s="76">
        <v>48</v>
      </c>
      <c r="Y172" s="75">
        <v>7</v>
      </c>
      <c r="Z172" s="76">
        <v>30.3</v>
      </c>
      <c r="AA172" s="75">
        <v>2</v>
      </c>
      <c r="AB172" s="76">
        <v>33.8</v>
      </c>
      <c r="AC172" s="75">
        <v>1</v>
      </c>
      <c r="AD172" s="76">
        <v>30.1</v>
      </c>
      <c r="AE172" s="75">
        <v>0</v>
      </c>
      <c r="AF172" s="76">
        <v>0</v>
      </c>
      <c r="AG172" s="75">
        <v>1</v>
      </c>
      <c r="AH172" s="76">
        <v>0.7</v>
      </c>
      <c r="AI172" s="75">
        <v>0</v>
      </c>
      <c r="AJ172" s="76">
        <v>0</v>
      </c>
      <c r="AK172" s="75">
        <v>124</v>
      </c>
      <c r="AL172" s="76">
        <v>164</v>
      </c>
    </row>
    <row r="173" spans="1:38" ht="13.5">
      <c r="A173" s="32" t="s">
        <v>23</v>
      </c>
      <c r="B173" s="75">
        <v>65</v>
      </c>
      <c r="C173" s="76">
        <v>18.15</v>
      </c>
      <c r="D173" s="75">
        <v>19</v>
      </c>
      <c r="E173" s="76">
        <v>36.9</v>
      </c>
      <c r="F173" s="75">
        <v>6</v>
      </c>
      <c r="G173" s="76">
        <v>38.9</v>
      </c>
      <c r="H173" s="75">
        <v>2</v>
      </c>
      <c r="I173" s="76">
        <v>12.9</v>
      </c>
      <c r="J173" s="75">
        <v>1</v>
      </c>
      <c r="K173" s="76">
        <v>10.3</v>
      </c>
      <c r="L173" s="75">
        <v>0</v>
      </c>
      <c r="M173" s="76">
        <v>0</v>
      </c>
      <c r="N173" s="75">
        <v>0</v>
      </c>
      <c r="O173" s="76">
        <v>0</v>
      </c>
      <c r="P173" s="75">
        <v>0</v>
      </c>
      <c r="Q173" s="76">
        <v>0</v>
      </c>
      <c r="R173" s="75">
        <v>93</v>
      </c>
      <c r="S173" s="76">
        <v>117.15</v>
      </c>
      <c r="T173" s="32" t="s">
        <v>23</v>
      </c>
      <c r="U173" s="75">
        <v>66</v>
      </c>
      <c r="V173" s="76">
        <v>17.28</v>
      </c>
      <c r="W173" s="75">
        <v>19</v>
      </c>
      <c r="X173" s="76">
        <v>36.5</v>
      </c>
      <c r="Y173" s="75">
        <v>6</v>
      </c>
      <c r="Z173" s="76">
        <v>35.5</v>
      </c>
      <c r="AA173" s="75">
        <v>2</v>
      </c>
      <c r="AB173" s="76">
        <v>3.9</v>
      </c>
      <c r="AC173" s="75">
        <v>1</v>
      </c>
      <c r="AD173" s="76">
        <v>9.3</v>
      </c>
      <c r="AE173" s="75">
        <v>0</v>
      </c>
      <c r="AF173" s="76">
        <v>0</v>
      </c>
      <c r="AG173" s="75">
        <v>0</v>
      </c>
      <c r="AH173" s="76">
        <v>0</v>
      </c>
      <c r="AI173" s="75">
        <v>0</v>
      </c>
      <c r="AJ173" s="76">
        <v>0</v>
      </c>
      <c r="AK173" s="75">
        <v>94</v>
      </c>
      <c r="AL173" s="76">
        <v>102.48</v>
      </c>
    </row>
    <row r="174" spans="1:38" ht="13.5">
      <c r="A174" s="32" t="s">
        <v>24</v>
      </c>
      <c r="B174" s="75">
        <v>13</v>
      </c>
      <c r="C174" s="76">
        <v>3.96</v>
      </c>
      <c r="D174" s="75">
        <v>10</v>
      </c>
      <c r="E174" s="76">
        <v>20.3</v>
      </c>
      <c r="F174" s="75">
        <v>9</v>
      </c>
      <c r="G174" s="76">
        <v>52.3</v>
      </c>
      <c r="H174" s="75">
        <v>10</v>
      </c>
      <c r="I174" s="76">
        <v>212.6</v>
      </c>
      <c r="J174" s="75">
        <v>4</v>
      </c>
      <c r="K174" s="76">
        <v>56</v>
      </c>
      <c r="L174" s="75">
        <v>4</v>
      </c>
      <c r="M174" s="76">
        <v>29.3</v>
      </c>
      <c r="N174" s="75">
        <v>3</v>
      </c>
      <c r="O174" s="76">
        <v>194</v>
      </c>
      <c r="P174" s="75">
        <v>2</v>
      </c>
      <c r="Q174" s="76">
        <v>710.3</v>
      </c>
      <c r="R174" s="75">
        <v>55</v>
      </c>
      <c r="S174" s="76">
        <v>1278.76</v>
      </c>
      <c r="T174" s="32" t="s">
        <v>24</v>
      </c>
      <c r="U174" s="75">
        <v>14</v>
      </c>
      <c r="V174" s="76">
        <v>3.86</v>
      </c>
      <c r="W174" s="75">
        <v>10</v>
      </c>
      <c r="X174" s="76">
        <v>20.3</v>
      </c>
      <c r="Y174" s="75">
        <v>9</v>
      </c>
      <c r="Z174" s="76">
        <v>49.5</v>
      </c>
      <c r="AA174" s="75">
        <v>9</v>
      </c>
      <c r="AB174" s="76">
        <v>134.9</v>
      </c>
      <c r="AC174" s="75">
        <v>3</v>
      </c>
      <c r="AD174" s="76">
        <v>21</v>
      </c>
      <c r="AE174" s="75">
        <v>4</v>
      </c>
      <c r="AF174" s="76">
        <v>29.3</v>
      </c>
      <c r="AG174" s="75">
        <v>4</v>
      </c>
      <c r="AH174" s="76">
        <v>55.3</v>
      </c>
      <c r="AI174" s="75">
        <v>2</v>
      </c>
      <c r="AJ174" s="76">
        <v>558.6</v>
      </c>
      <c r="AK174" s="75">
        <v>55</v>
      </c>
      <c r="AL174" s="76">
        <v>872.76</v>
      </c>
    </row>
    <row r="175" spans="1:38" ht="13.5">
      <c r="A175" s="32" t="s">
        <v>54</v>
      </c>
      <c r="B175" s="75">
        <v>136</v>
      </c>
      <c r="C175" s="76">
        <v>38.14</v>
      </c>
      <c r="D175" s="75">
        <v>31</v>
      </c>
      <c r="E175" s="76">
        <v>64.3</v>
      </c>
      <c r="F175" s="75">
        <v>8</v>
      </c>
      <c r="G175" s="76">
        <v>42.5</v>
      </c>
      <c r="H175" s="75">
        <v>13</v>
      </c>
      <c r="I175" s="76">
        <v>191.3</v>
      </c>
      <c r="J175" s="75">
        <v>7</v>
      </c>
      <c r="K175" s="76">
        <v>127.2</v>
      </c>
      <c r="L175" s="75">
        <v>8</v>
      </c>
      <c r="M175" s="76">
        <v>188.4</v>
      </c>
      <c r="N175" s="75">
        <v>3</v>
      </c>
      <c r="O175" s="76">
        <v>27.3</v>
      </c>
      <c r="P175" s="75">
        <v>0</v>
      </c>
      <c r="Q175" s="76">
        <v>0</v>
      </c>
      <c r="R175" s="75">
        <v>206</v>
      </c>
      <c r="S175" s="76">
        <v>679.14</v>
      </c>
      <c r="T175" s="32" t="s">
        <v>54</v>
      </c>
      <c r="U175" s="75">
        <v>122</v>
      </c>
      <c r="V175" s="76">
        <v>33.33</v>
      </c>
      <c r="W175" s="75">
        <v>23</v>
      </c>
      <c r="X175" s="76">
        <v>39.400000000000006</v>
      </c>
      <c r="Y175" s="75">
        <v>7</v>
      </c>
      <c r="Z175" s="76">
        <v>33</v>
      </c>
      <c r="AA175" s="75">
        <v>8</v>
      </c>
      <c r="AB175" s="76">
        <v>91</v>
      </c>
      <c r="AC175" s="75">
        <v>7</v>
      </c>
      <c r="AD175" s="76">
        <v>103</v>
      </c>
      <c r="AE175" s="75">
        <v>5</v>
      </c>
      <c r="AF175" s="76">
        <v>71.4</v>
      </c>
      <c r="AG175" s="75">
        <v>2</v>
      </c>
      <c r="AH175" s="76">
        <v>22.3</v>
      </c>
      <c r="AI175" s="75">
        <v>0</v>
      </c>
      <c r="AJ175" s="76">
        <v>0</v>
      </c>
      <c r="AK175" s="75">
        <v>174</v>
      </c>
      <c r="AL175" s="76">
        <v>393.43</v>
      </c>
    </row>
    <row r="176" spans="1:38" ht="13.5">
      <c r="A176" s="32" t="s">
        <v>22</v>
      </c>
      <c r="B176" s="75">
        <v>46</v>
      </c>
      <c r="C176" s="76">
        <v>13.45</v>
      </c>
      <c r="D176" s="75">
        <v>15</v>
      </c>
      <c r="E176" s="76">
        <v>29.7</v>
      </c>
      <c r="F176" s="75">
        <v>2</v>
      </c>
      <c r="G176" s="76">
        <v>8.5</v>
      </c>
      <c r="H176" s="75">
        <v>0</v>
      </c>
      <c r="I176" s="76">
        <v>0</v>
      </c>
      <c r="J176" s="75">
        <v>2</v>
      </c>
      <c r="K176" s="76">
        <v>0</v>
      </c>
      <c r="L176" s="75">
        <v>3</v>
      </c>
      <c r="M176" s="76">
        <v>45.2</v>
      </c>
      <c r="N176" s="75">
        <v>1</v>
      </c>
      <c r="O176" s="76">
        <v>20.5</v>
      </c>
      <c r="P176" s="75">
        <v>0</v>
      </c>
      <c r="Q176" s="76">
        <v>0</v>
      </c>
      <c r="R176" s="75">
        <v>69</v>
      </c>
      <c r="S176" s="76">
        <v>117.35</v>
      </c>
      <c r="T176" s="32" t="s">
        <v>22</v>
      </c>
      <c r="U176" s="75">
        <v>42</v>
      </c>
      <c r="V176" s="76">
        <v>11.6</v>
      </c>
      <c r="W176" s="75">
        <v>10</v>
      </c>
      <c r="X176" s="76">
        <v>13.6</v>
      </c>
      <c r="Y176" s="75">
        <v>1</v>
      </c>
      <c r="Z176" s="76">
        <v>3.4</v>
      </c>
      <c r="AA176" s="75">
        <v>0</v>
      </c>
      <c r="AB176" s="76">
        <v>0</v>
      </c>
      <c r="AC176" s="75">
        <v>1</v>
      </c>
      <c r="AD176" s="76">
        <v>13.3</v>
      </c>
      <c r="AE176" s="75">
        <v>1</v>
      </c>
      <c r="AF176" s="76">
        <v>11.3</v>
      </c>
      <c r="AG176" s="75">
        <v>1</v>
      </c>
      <c r="AH176" s="76">
        <v>20.5</v>
      </c>
      <c r="AI176" s="75">
        <v>0</v>
      </c>
      <c r="AJ176" s="76">
        <v>0</v>
      </c>
      <c r="AK176" s="75">
        <v>56</v>
      </c>
      <c r="AL176" s="76">
        <v>73.7</v>
      </c>
    </row>
    <row r="177" spans="1:38" ht="13.5">
      <c r="A177" s="32" t="s">
        <v>23</v>
      </c>
      <c r="B177" s="75">
        <v>44</v>
      </c>
      <c r="C177" s="76">
        <v>13.2</v>
      </c>
      <c r="D177" s="75">
        <v>9</v>
      </c>
      <c r="E177" s="76">
        <v>17.4</v>
      </c>
      <c r="F177" s="75">
        <v>0</v>
      </c>
      <c r="G177" s="76">
        <v>0</v>
      </c>
      <c r="H177" s="75">
        <v>2</v>
      </c>
      <c r="I177" s="76">
        <v>30.9</v>
      </c>
      <c r="J177" s="75">
        <v>0</v>
      </c>
      <c r="K177" s="76">
        <v>28.3</v>
      </c>
      <c r="L177" s="75">
        <v>2</v>
      </c>
      <c r="M177" s="76">
        <v>81.8</v>
      </c>
      <c r="N177" s="75">
        <v>1</v>
      </c>
      <c r="O177" s="76">
        <v>5</v>
      </c>
      <c r="P177" s="75">
        <v>0</v>
      </c>
      <c r="Q177" s="76">
        <v>0</v>
      </c>
      <c r="R177" s="75">
        <v>58</v>
      </c>
      <c r="S177" s="76">
        <v>176.6</v>
      </c>
      <c r="T177" s="32" t="s">
        <v>23</v>
      </c>
      <c r="U177" s="75">
        <v>37</v>
      </c>
      <c r="V177" s="76">
        <v>11.15</v>
      </c>
      <c r="W177" s="75">
        <v>7</v>
      </c>
      <c r="X177" s="76">
        <v>12</v>
      </c>
      <c r="Y177" s="75">
        <v>1</v>
      </c>
      <c r="Z177" s="76">
        <v>4.5</v>
      </c>
      <c r="AA177" s="75">
        <v>1</v>
      </c>
      <c r="AB177" s="76">
        <v>12.7</v>
      </c>
      <c r="AC177" s="75">
        <v>1</v>
      </c>
      <c r="AD177" s="76">
        <v>15</v>
      </c>
      <c r="AE177" s="75">
        <v>2</v>
      </c>
      <c r="AF177" s="76">
        <v>46.1</v>
      </c>
      <c r="AG177" s="75">
        <v>0</v>
      </c>
      <c r="AH177" s="76">
        <v>0</v>
      </c>
      <c r="AI177" s="75">
        <v>0</v>
      </c>
      <c r="AJ177" s="76">
        <v>0</v>
      </c>
      <c r="AK177" s="75">
        <v>49</v>
      </c>
      <c r="AL177" s="76">
        <v>101.45</v>
      </c>
    </row>
    <row r="178" spans="1:38" ht="13.5">
      <c r="A178" s="32" t="s">
        <v>24</v>
      </c>
      <c r="B178" s="75">
        <v>46</v>
      </c>
      <c r="C178" s="76">
        <v>11.49</v>
      </c>
      <c r="D178" s="75">
        <v>7</v>
      </c>
      <c r="E178" s="76">
        <v>17.2</v>
      </c>
      <c r="F178" s="75">
        <v>6</v>
      </c>
      <c r="G178" s="76">
        <v>34</v>
      </c>
      <c r="H178" s="75">
        <v>11</v>
      </c>
      <c r="I178" s="76">
        <v>160.4</v>
      </c>
      <c r="J178" s="75">
        <v>5</v>
      </c>
      <c r="K178" s="76">
        <v>98.9</v>
      </c>
      <c r="L178" s="75">
        <v>3</v>
      </c>
      <c r="M178" s="76">
        <v>61.4</v>
      </c>
      <c r="N178" s="75">
        <v>1</v>
      </c>
      <c r="O178" s="76">
        <v>1.8</v>
      </c>
      <c r="P178" s="75">
        <v>0</v>
      </c>
      <c r="Q178" s="76">
        <v>0</v>
      </c>
      <c r="R178" s="75">
        <v>79</v>
      </c>
      <c r="S178" s="76">
        <v>385.19</v>
      </c>
      <c r="T178" s="32" t="s">
        <v>24</v>
      </c>
      <c r="U178" s="75">
        <v>43</v>
      </c>
      <c r="V178" s="76">
        <v>10.58</v>
      </c>
      <c r="W178" s="75">
        <v>6</v>
      </c>
      <c r="X178" s="76">
        <v>13.8</v>
      </c>
      <c r="Y178" s="75">
        <v>5</v>
      </c>
      <c r="Z178" s="76">
        <v>25.1</v>
      </c>
      <c r="AA178" s="75">
        <v>7</v>
      </c>
      <c r="AB178" s="76">
        <v>78.3</v>
      </c>
      <c r="AC178" s="75">
        <v>5</v>
      </c>
      <c r="AD178" s="76">
        <v>74.7</v>
      </c>
      <c r="AE178" s="75">
        <v>2</v>
      </c>
      <c r="AF178" s="76">
        <v>14</v>
      </c>
      <c r="AG178" s="75">
        <v>1</v>
      </c>
      <c r="AH178" s="76">
        <v>1.8</v>
      </c>
      <c r="AI178" s="75">
        <v>0</v>
      </c>
      <c r="AJ178" s="76">
        <v>0</v>
      </c>
      <c r="AK178" s="75">
        <v>69</v>
      </c>
      <c r="AL178" s="76">
        <v>218.28</v>
      </c>
    </row>
    <row r="179" spans="1:38" ht="13.5">
      <c r="A179" s="32"/>
      <c r="B179" s="19"/>
      <c r="C179" s="20"/>
      <c r="D179" s="19"/>
      <c r="E179" s="20"/>
      <c r="F179" s="19"/>
      <c r="G179" s="20"/>
      <c r="H179" s="19"/>
      <c r="I179" s="20"/>
      <c r="J179" s="19"/>
      <c r="K179" s="20"/>
      <c r="L179" s="19"/>
      <c r="M179" s="20"/>
      <c r="N179" s="19"/>
      <c r="O179" s="20"/>
      <c r="P179" s="19"/>
      <c r="Q179" s="20"/>
      <c r="R179" s="19"/>
      <c r="S179" s="20"/>
      <c r="T179" s="32"/>
      <c r="U179" s="19"/>
      <c r="V179" s="20"/>
      <c r="W179" s="19"/>
      <c r="X179" s="20"/>
      <c r="Y179" s="19"/>
      <c r="Z179" s="20"/>
      <c r="AA179" s="19"/>
      <c r="AB179" s="20"/>
      <c r="AC179" s="19"/>
      <c r="AD179" s="20"/>
      <c r="AE179" s="19"/>
      <c r="AF179" s="20"/>
      <c r="AG179" s="19"/>
      <c r="AH179" s="20"/>
      <c r="AI179" s="19"/>
      <c r="AJ179" s="20"/>
      <c r="AK179" s="19"/>
      <c r="AL179" s="20"/>
    </row>
    <row r="180" spans="1:38" ht="13.5">
      <c r="A180" s="32" t="s">
        <v>55</v>
      </c>
      <c r="B180" s="75">
        <v>208</v>
      </c>
      <c r="C180" s="76">
        <v>47.540000000000006</v>
      </c>
      <c r="D180" s="75">
        <v>16</v>
      </c>
      <c r="E180" s="76">
        <v>29.8</v>
      </c>
      <c r="F180" s="75">
        <v>5</v>
      </c>
      <c r="G180" s="76">
        <v>56.5</v>
      </c>
      <c r="H180" s="75">
        <v>7</v>
      </c>
      <c r="I180" s="76">
        <v>932.6</v>
      </c>
      <c r="J180" s="75">
        <v>4</v>
      </c>
      <c r="K180" s="76">
        <v>100.7</v>
      </c>
      <c r="L180" s="75">
        <v>1</v>
      </c>
      <c r="M180" s="76">
        <v>4.6</v>
      </c>
      <c r="N180" s="75">
        <v>3</v>
      </c>
      <c r="O180" s="76">
        <v>69.2</v>
      </c>
      <c r="P180" s="75">
        <v>2</v>
      </c>
      <c r="Q180" s="76">
        <v>613.8</v>
      </c>
      <c r="R180" s="75">
        <v>246</v>
      </c>
      <c r="S180" s="76">
        <v>1854.74</v>
      </c>
      <c r="T180" s="32" t="s">
        <v>55</v>
      </c>
      <c r="U180" s="75">
        <v>204</v>
      </c>
      <c r="V180" s="76">
        <v>46.79</v>
      </c>
      <c r="W180" s="75">
        <v>12</v>
      </c>
      <c r="X180" s="76">
        <v>24.200000000000003</v>
      </c>
      <c r="Y180" s="75">
        <v>5</v>
      </c>
      <c r="Z180" s="76">
        <v>38.1</v>
      </c>
      <c r="AA180" s="75">
        <v>6</v>
      </c>
      <c r="AB180" s="76">
        <v>168.5</v>
      </c>
      <c r="AC180" s="75">
        <v>4</v>
      </c>
      <c r="AD180" s="76">
        <v>70.5</v>
      </c>
      <c r="AE180" s="75">
        <v>1</v>
      </c>
      <c r="AF180" s="76">
        <v>4.6</v>
      </c>
      <c r="AG180" s="75">
        <v>2</v>
      </c>
      <c r="AH180" s="76">
        <v>11.8</v>
      </c>
      <c r="AI180" s="75">
        <v>2</v>
      </c>
      <c r="AJ180" s="76">
        <v>115.8</v>
      </c>
      <c r="AK180" s="75">
        <v>236</v>
      </c>
      <c r="AL180" s="76">
        <v>480.29</v>
      </c>
    </row>
    <row r="181" spans="1:38" ht="13.5">
      <c r="A181" s="32" t="s">
        <v>22</v>
      </c>
      <c r="B181" s="75">
        <v>131</v>
      </c>
      <c r="C181" s="76">
        <v>24.64</v>
      </c>
      <c r="D181" s="75">
        <v>7</v>
      </c>
      <c r="E181" s="76">
        <v>11.4</v>
      </c>
      <c r="F181" s="75">
        <v>1</v>
      </c>
      <c r="G181" s="76">
        <v>4.6</v>
      </c>
      <c r="H181" s="75">
        <v>1</v>
      </c>
      <c r="I181" s="76">
        <v>28.5</v>
      </c>
      <c r="J181" s="75">
        <v>0</v>
      </c>
      <c r="K181" s="76">
        <v>7.6</v>
      </c>
      <c r="L181" s="75">
        <v>0</v>
      </c>
      <c r="M181" s="76">
        <v>0</v>
      </c>
      <c r="N181" s="75">
        <v>1</v>
      </c>
      <c r="O181" s="76">
        <v>4.3</v>
      </c>
      <c r="P181" s="75">
        <v>0</v>
      </c>
      <c r="Q181" s="76">
        <v>0</v>
      </c>
      <c r="R181" s="75">
        <v>141</v>
      </c>
      <c r="S181" s="76">
        <v>81.04</v>
      </c>
      <c r="T181" s="32" t="s">
        <v>22</v>
      </c>
      <c r="U181" s="75">
        <v>129</v>
      </c>
      <c r="V181" s="76">
        <v>24.35</v>
      </c>
      <c r="W181" s="75">
        <v>3</v>
      </c>
      <c r="X181" s="76">
        <v>8.8</v>
      </c>
      <c r="Y181" s="75">
        <v>1</v>
      </c>
      <c r="Z181" s="76">
        <v>4.6</v>
      </c>
      <c r="AA181" s="75">
        <v>1</v>
      </c>
      <c r="AB181" s="76">
        <v>28.5</v>
      </c>
      <c r="AC181" s="75">
        <v>0</v>
      </c>
      <c r="AD181" s="76">
        <v>6.4</v>
      </c>
      <c r="AE181" s="75">
        <v>0</v>
      </c>
      <c r="AF181" s="76">
        <v>0</v>
      </c>
      <c r="AG181" s="75">
        <v>0</v>
      </c>
      <c r="AH181" s="76">
        <v>0</v>
      </c>
      <c r="AI181" s="75">
        <v>0</v>
      </c>
      <c r="AJ181" s="76">
        <v>0</v>
      </c>
      <c r="AK181" s="75">
        <v>134</v>
      </c>
      <c r="AL181" s="76">
        <v>72.65</v>
      </c>
    </row>
    <row r="182" spans="1:38" ht="13.5">
      <c r="A182" s="32" t="s">
        <v>23</v>
      </c>
      <c r="B182" s="75">
        <v>48</v>
      </c>
      <c r="C182" s="76">
        <v>12.24</v>
      </c>
      <c r="D182" s="75">
        <v>2</v>
      </c>
      <c r="E182" s="76">
        <v>2.3</v>
      </c>
      <c r="F182" s="75">
        <v>1</v>
      </c>
      <c r="G182" s="76">
        <v>28.3</v>
      </c>
      <c r="H182" s="75">
        <v>0</v>
      </c>
      <c r="I182" s="76">
        <v>0</v>
      </c>
      <c r="J182" s="75">
        <v>1</v>
      </c>
      <c r="K182" s="76">
        <v>28.9</v>
      </c>
      <c r="L182" s="75">
        <v>0</v>
      </c>
      <c r="M182" s="76">
        <v>0</v>
      </c>
      <c r="N182" s="75">
        <v>1</v>
      </c>
      <c r="O182" s="76">
        <v>4.4</v>
      </c>
      <c r="P182" s="75">
        <v>0</v>
      </c>
      <c r="Q182" s="76">
        <v>0</v>
      </c>
      <c r="R182" s="75">
        <v>53</v>
      </c>
      <c r="S182" s="76">
        <v>76.14</v>
      </c>
      <c r="T182" s="32" t="s">
        <v>23</v>
      </c>
      <c r="U182" s="75">
        <v>48</v>
      </c>
      <c r="V182" s="76">
        <v>12.23</v>
      </c>
      <c r="W182" s="75">
        <v>2</v>
      </c>
      <c r="X182" s="76">
        <v>2.3</v>
      </c>
      <c r="Y182" s="75">
        <v>1</v>
      </c>
      <c r="Z182" s="76">
        <v>20.6</v>
      </c>
      <c r="AA182" s="75">
        <v>0</v>
      </c>
      <c r="AB182" s="76">
        <v>0</v>
      </c>
      <c r="AC182" s="75">
        <v>1</v>
      </c>
      <c r="AD182" s="76">
        <v>17.8</v>
      </c>
      <c r="AE182" s="75">
        <v>0</v>
      </c>
      <c r="AF182" s="76">
        <v>0</v>
      </c>
      <c r="AG182" s="75">
        <v>1</v>
      </c>
      <c r="AH182" s="76">
        <v>4.4</v>
      </c>
      <c r="AI182" s="75">
        <v>0</v>
      </c>
      <c r="AJ182" s="76">
        <v>0</v>
      </c>
      <c r="AK182" s="75">
        <v>53</v>
      </c>
      <c r="AL182" s="76">
        <v>57.33</v>
      </c>
    </row>
    <row r="183" spans="1:38" ht="13.5">
      <c r="A183" s="32" t="s">
        <v>24</v>
      </c>
      <c r="B183" s="75">
        <v>29</v>
      </c>
      <c r="C183" s="76">
        <v>10.66</v>
      </c>
      <c r="D183" s="75">
        <v>7</v>
      </c>
      <c r="E183" s="76">
        <v>16.1</v>
      </c>
      <c r="F183" s="75">
        <v>3</v>
      </c>
      <c r="G183" s="76">
        <v>23.6</v>
      </c>
      <c r="H183" s="75">
        <v>6</v>
      </c>
      <c r="I183" s="76">
        <v>904.1</v>
      </c>
      <c r="J183" s="75">
        <v>3</v>
      </c>
      <c r="K183" s="76">
        <v>64.2</v>
      </c>
      <c r="L183" s="75">
        <v>1</v>
      </c>
      <c r="M183" s="76">
        <v>4.6</v>
      </c>
      <c r="N183" s="75">
        <v>1</v>
      </c>
      <c r="O183" s="76">
        <v>60.5</v>
      </c>
      <c r="P183" s="75">
        <v>2</v>
      </c>
      <c r="Q183" s="76">
        <v>613.8</v>
      </c>
      <c r="R183" s="75">
        <v>52</v>
      </c>
      <c r="S183" s="76">
        <v>1697.56</v>
      </c>
      <c r="T183" s="32" t="s">
        <v>24</v>
      </c>
      <c r="U183" s="75">
        <v>27</v>
      </c>
      <c r="V183" s="76">
        <v>10.21</v>
      </c>
      <c r="W183" s="75">
        <v>7</v>
      </c>
      <c r="X183" s="76">
        <v>13.1</v>
      </c>
      <c r="Y183" s="75">
        <v>3</v>
      </c>
      <c r="Z183" s="76">
        <v>12.9</v>
      </c>
      <c r="AA183" s="75">
        <v>5</v>
      </c>
      <c r="AB183" s="76">
        <v>140</v>
      </c>
      <c r="AC183" s="75">
        <v>3</v>
      </c>
      <c r="AD183" s="76">
        <v>46.3</v>
      </c>
      <c r="AE183" s="75">
        <v>1</v>
      </c>
      <c r="AF183" s="76">
        <v>4.6</v>
      </c>
      <c r="AG183" s="75">
        <v>1</v>
      </c>
      <c r="AH183" s="76">
        <v>7.4</v>
      </c>
      <c r="AI183" s="75">
        <v>2</v>
      </c>
      <c r="AJ183" s="76">
        <v>115.8</v>
      </c>
      <c r="AK183" s="75">
        <v>49</v>
      </c>
      <c r="AL183" s="76">
        <v>350.31</v>
      </c>
    </row>
    <row r="184" spans="1:38" ht="13.5">
      <c r="A184" s="32" t="s">
        <v>56</v>
      </c>
      <c r="B184" s="75">
        <v>162</v>
      </c>
      <c r="C184" s="76">
        <v>36.81</v>
      </c>
      <c r="D184" s="75">
        <v>17</v>
      </c>
      <c r="E184" s="76">
        <v>42.900000000000006</v>
      </c>
      <c r="F184" s="75">
        <v>7</v>
      </c>
      <c r="G184" s="76">
        <v>54.9</v>
      </c>
      <c r="H184" s="75">
        <v>19</v>
      </c>
      <c r="I184" s="76">
        <v>329.2</v>
      </c>
      <c r="J184" s="75">
        <v>9</v>
      </c>
      <c r="K184" s="76">
        <v>158.2</v>
      </c>
      <c r="L184" s="75">
        <v>0</v>
      </c>
      <c r="M184" s="76">
        <v>0</v>
      </c>
      <c r="N184" s="75">
        <v>8</v>
      </c>
      <c r="O184" s="76">
        <v>221</v>
      </c>
      <c r="P184" s="75">
        <v>4</v>
      </c>
      <c r="Q184" s="76">
        <v>359.7</v>
      </c>
      <c r="R184" s="75">
        <v>226</v>
      </c>
      <c r="S184" s="76">
        <v>1202.71</v>
      </c>
      <c r="T184" s="32" t="s">
        <v>56</v>
      </c>
      <c r="U184" s="75">
        <v>159</v>
      </c>
      <c r="V184" s="76">
        <v>36.22</v>
      </c>
      <c r="W184" s="75">
        <v>16</v>
      </c>
      <c r="X184" s="76">
        <v>38.9</v>
      </c>
      <c r="Y184" s="75">
        <v>7</v>
      </c>
      <c r="Z184" s="76">
        <v>54.580000000000005</v>
      </c>
      <c r="AA184" s="75">
        <v>19</v>
      </c>
      <c r="AB184" s="76">
        <v>258.29999999999995</v>
      </c>
      <c r="AC184" s="75">
        <v>9</v>
      </c>
      <c r="AD184" s="76">
        <v>154.6</v>
      </c>
      <c r="AE184" s="75">
        <v>0</v>
      </c>
      <c r="AF184" s="76">
        <v>0</v>
      </c>
      <c r="AG184" s="75">
        <v>8</v>
      </c>
      <c r="AH184" s="76">
        <v>128.5</v>
      </c>
      <c r="AI184" s="75">
        <v>4</v>
      </c>
      <c r="AJ184" s="76">
        <v>251</v>
      </c>
      <c r="AK184" s="75">
        <v>222</v>
      </c>
      <c r="AL184" s="76">
        <v>922.1</v>
      </c>
    </row>
    <row r="185" spans="1:38" ht="13.5">
      <c r="A185" s="32" t="s">
        <v>22</v>
      </c>
      <c r="B185" s="75">
        <v>79</v>
      </c>
      <c r="C185" s="76">
        <v>16.02</v>
      </c>
      <c r="D185" s="75">
        <v>6</v>
      </c>
      <c r="E185" s="76">
        <v>20.8</v>
      </c>
      <c r="F185" s="75">
        <v>0</v>
      </c>
      <c r="G185" s="76">
        <v>0</v>
      </c>
      <c r="H185" s="75">
        <v>4</v>
      </c>
      <c r="I185" s="76">
        <v>58.7</v>
      </c>
      <c r="J185" s="75">
        <v>1</v>
      </c>
      <c r="K185" s="76">
        <v>11</v>
      </c>
      <c r="L185" s="75">
        <v>0</v>
      </c>
      <c r="M185" s="76">
        <v>0</v>
      </c>
      <c r="N185" s="75">
        <v>3</v>
      </c>
      <c r="O185" s="76">
        <v>28.8</v>
      </c>
      <c r="P185" s="75">
        <v>0</v>
      </c>
      <c r="Q185" s="76">
        <v>0</v>
      </c>
      <c r="R185" s="75">
        <v>93</v>
      </c>
      <c r="S185" s="76">
        <v>135.32</v>
      </c>
      <c r="T185" s="32" t="s">
        <v>22</v>
      </c>
      <c r="U185" s="75">
        <v>77</v>
      </c>
      <c r="V185" s="76">
        <v>15.58</v>
      </c>
      <c r="W185" s="75">
        <v>6</v>
      </c>
      <c r="X185" s="76">
        <v>19.1</v>
      </c>
      <c r="Y185" s="75">
        <v>0</v>
      </c>
      <c r="Z185" s="76">
        <v>0</v>
      </c>
      <c r="AA185" s="75">
        <v>4</v>
      </c>
      <c r="AB185" s="76">
        <v>50</v>
      </c>
      <c r="AC185" s="75">
        <v>1</v>
      </c>
      <c r="AD185" s="76">
        <v>11</v>
      </c>
      <c r="AE185" s="75">
        <v>0</v>
      </c>
      <c r="AF185" s="76">
        <v>0</v>
      </c>
      <c r="AG185" s="75">
        <v>3</v>
      </c>
      <c r="AH185" s="76">
        <v>28.5</v>
      </c>
      <c r="AI185" s="75">
        <v>0</v>
      </c>
      <c r="AJ185" s="76">
        <v>0</v>
      </c>
      <c r="AK185" s="75">
        <v>91</v>
      </c>
      <c r="AL185" s="76">
        <v>124.18</v>
      </c>
    </row>
    <row r="186" spans="1:38" ht="13.5">
      <c r="A186" s="32" t="s">
        <v>23</v>
      </c>
      <c r="B186" s="75">
        <v>62</v>
      </c>
      <c r="C186" s="76">
        <v>14.52</v>
      </c>
      <c r="D186" s="75">
        <v>5</v>
      </c>
      <c r="E186" s="76">
        <v>9.9</v>
      </c>
      <c r="F186" s="75">
        <v>1</v>
      </c>
      <c r="G186" s="76">
        <v>5.3</v>
      </c>
      <c r="H186" s="75">
        <v>3</v>
      </c>
      <c r="I186" s="76">
        <v>45.5</v>
      </c>
      <c r="J186" s="75">
        <v>2</v>
      </c>
      <c r="K186" s="76">
        <v>57</v>
      </c>
      <c r="L186" s="75">
        <v>0</v>
      </c>
      <c r="M186" s="76">
        <v>0</v>
      </c>
      <c r="N186" s="75">
        <v>2</v>
      </c>
      <c r="O186" s="76">
        <v>4.1</v>
      </c>
      <c r="P186" s="75">
        <v>0</v>
      </c>
      <c r="Q186" s="76">
        <v>0</v>
      </c>
      <c r="R186" s="75">
        <v>75</v>
      </c>
      <c r="S186" s="76">
        <v>136.32</v>
      </c>
      <c r="T186" s="32" t="s">
        <v>23</v>
      </c>
      <c r="U186" s="75">
        <v>61</v>
      </c>
      <c r="V186" s="76">
        <v>14.28</v>
      </c>
      <c r="W186" s="75">
        <v>5</v>
      </c>
      <c r="X186" s="76">
        <v>9.9</v>
      </c>
      <c r="Y186" s="75">
        <v>1</v>
      </c>
      <c r="Z186" s="76">
        <v>4.7</v>
      </c>
      <c r="AA186" s="75">
        <v>3</v>
      </c>
      <c r="AB186" s="76">
        <v>41.1</v>
      </c>
      <c r="AC186" s="75">
        <v>2</v>
      </c>
      <c r="AD186" s="76">
        <v>57</v>
      </c>
      <c r="AE186" s="75">
        <v>0</v>
      </c>
      <c r="AF186" s="76">
        <v>0</v>
      </c>
      <c r="AG186" s="75">
        <v>2</v>
      </c>
      <c r="AH186" s="76">
        <v>4.1</v>
      </c>
      <c r="AI186" s="75">
        <v>0</v>
      </c>
      <c r="AJ186" s="76">
        <v>0</v>
      </c>
      <c r="AK186" s="75">
        <v>74</v>
      </c>
      <c r="AL186" s="76">
        <v>131.08</v>
      </c>
    </row>
    <row r="187" spans="1:38" ht="13.5">
      <c r="A187" s="32" t="s">
        <v>24</v>
      </c>
      <c r="B187" s="75">
        <v>21</v>
      </c>
      <c r="C187" s="76">
        <v>6.27</v>
      </c>
      <c r="D187" s="75">
        <v>6</v>
      </c>
      <c r="E187" s="76">
        <v>12.2</v>
      </c>
      <c r="F187" s="75">
        <v>6</v>
      </c>
      <c r="G187" s="76">
        <v>49.6</v>
      </c>
      <c r="H187" s="75">
        <v>12</v>
      </c>
      <c r="I187" s="76">
        <v>225</v>
      </c>
      <c r="J187" s="75">
        <v>6</v>
      </c>
      <c r="K187" s="76">
        <v>90.2</v>
      </c>
      <c r="L187" s="75">
        <v>0</v>
      </c>
      <c r="M187" s="76">
        <v>0</v>
      </c>
      <c r="N187" s="75">
        <v>3</v>
      </c>
      <c r="O187" s="76">
        <v>188.1</v>
      </c>
      <c r="P187" s="75">
        <v>4</v>
      </c>
      <c r="Q187" s="76">
        <v>359.7</v>
      </c>
      <c r="R187" s="75">
        <v>58</v>
      </c>
      <c r="S187" s="76">
        <v>931.07</v>
      </c>
      <c r="T187" s="32" t="s">
        <v>24</v>
      </c>
      <c r="U187" s="75">
        <v>21</v>
      </c>
      <c r="V187" s="76">
        <v>6.36</v>
      </c>
      <c r="W187" s="75">
        <v>5</v>
      </c>
      <c r="X187" s="76">
        <v>9.9</v>
      </c>
      <c r="Y187" s="75">
        <v>6</v>
      </c>
      <c r="Z187" s="76">
        <v>49.88</v>
      </c>
      <c r="AA187" s="75">
        <v>12</v>
      </c>
      <c r="AB187" s="76">
        <v>167.2</v>
      </c>
      <c r="AC187" s="75">
        <v>6</v>
      </c>
      <c r="AD187" s="76">
        <v>86.6</v>
      </c>
      <c r="AE187" s="75">
        <v>0</v>
      </c>
      <c r="AF187" s="76">
        <v>0</v>
      </c>
      <c r="AG187" s="75">
        <v>3</v>
      </c>
      <c r="AH187" s="76">
        <v>95.9</v>
      </c>
      <c r="AI187" s="75">
        <v>4</v>
      </c>
      <c r="AJ187" s="76">
        <v>251</v>
      </c>
      <c r="AK187" s="75">
        <v>57</v>
      </c>
      <c r="AL187" s="76">
        <v>666.84</v>
      </c>
    </row>
    <row r="188" spans="1:38" ht="13.5">
      <c r="A188" s="32" t="s">
        <v>57</v>
      </c>
      <c r="B188" s="75">
        <v>482</v>
      </c>
      <c r="C188" s="76">
        <v>119</v>
      </c>
      <c r="D188" s="75">
        <v>38</v>
      </c>
      <c r="E188" s="76">
        <v>83.9</v>
      </c>
      <c r="F188" s="75">
        <v>14</v>
      </c>
      <c r="G188" s="76">
        <v>88.9</v>
      </c>
      <c r="H188" s="75">
        <v>19</v>
      </c>
      <c r="I188" s="76">
        <v>266.70000000000005</v>
      </c>
      <c r="J188" s="75">
        <v>18</v>
      </c>
      <c r="K188" s="76">
        <v>266.68</v>
      </c>
      <c r="L188" s="75">
        <v>11</v>
      </c>
      <c r="M188" s="76">
        <v>466.6</v>
      </c>
      <c r="N188" s="75">
        <v>4</v>
      </c>
      <c r="O188" s="76">
        <v>46.3</v>
      </c>
      <c r="P188" s="75">
        <v>0</v>
      </c>
      <c r="Q188" s="76">
        <v>0</v>
      </c>
      <c r="R188" s="75">
        <v>586</v>
      </c>
      <c r="S188" s="76">
        <v>1338.08</v>
      </c>
      <c r="T188" s="32" t="s">
        <v>57</v>
      </c>
      <c r="U188" s="75">
        <v>479</v>
      </c>
      <c r="V188" s="76">
        <v>118.23</v>
      </c>
      <c r="W188" s="75">
        <v>37</v>
      </c>
      <c r="X188" s="76">
        <v>76.1</v>
      </c>
      <c r="Y188" s="75">
        <v>14</v>
      </c>
      <c r="Z188" s="76">
        <v>85.69999999999999</v>
      </c>
      <c r="AA188" s="75">
        <v>19</v>
      </c>
      <c r="AB188" s="76">
        <v>229.55</v>
      </c>
      <c r="AC188" s="75">
        <v>18</v>
      </c>
      <c r="AD188" s="76">
        <v>244.17999999999998</v>
      </c>
      <c r="AE188" s="75">
        <v>11</v>
      </c>
      <c r="AF188" s="76">
        <v>372.91999999999996</v>
      </c>
      <c r="AG188" s="75">
        <v>4</v>
      </c>
      <c r="AH188" s="76">
        <v>37.4</v>
      </c>
      <c r="AI188" s="75">
        <v>0</v>
      </c>
      <c r="AJ188" s="76">
        <v>0</v>
      </c>
      <c r="AK188" s="75">
        <v>582</v>
      </c>
      <c r="AL188" s="76">
        <v>1164.08</v>
      </c>
    </row>
    <row r="189" spans="1:38" ht="13.5">
      <c r="A189" s="32" t="s">
        <v>22</v>
      </c>
      <c r="B189" s="75">
        <v>360</v>
      </c>
      <c r="C189" s="76">
        <v>85.98</v>
      </c>
      <c r="D189" s="75">
        <v>17</v>
      </c>
      <c r="E189" s="76">
        <v>38.5</v>
      </c>
      <c r="F189" s="75">
        <v>2</v>
      </c>
      <c r="G189" s="76">
        <v>12.1</v>
      </c>
      <c r="H189" s="75">
        <v>5</v>
      </c>
      <c r="I189" s="76">
        <v>64.9</v>
      </c>
      <c r="J189" s="75">
        <v>6</v>
      </c>
      <c r="K189" s="76">
        <v>87.2</v>
      </c>
      <c r="L189" s="75">
        <v>3</v>
      </c>
      <c r="M189" s="76">
        <v>161.1</v>
      </c>
      <c r="N189" s="75">
        <v>3</v>
      </c>
      <c r="O189" s="76">
        <v>42.8</v>
      </c>
      <c r="P189" s="75">
        <v>0</v>
      </c>
      <c r="Q189" s="76">
        <v>0</v>
      </c>
      <c r="R189" s="75">
        <v>396</v>
      </c>
      <c r="S189" s="76">
        <v>492.58</v>
      </c>
      <c r="T189" s="32" t="s">
        <v>22</v>
      </c>
      <c r="U189" s="75">
        <v>357</v>
      </c>
      <c r="V189" s="76">
        <v>85.27</v>
      </c>
      <c r="W189" s="75">
        <v>16</v>
      </c>
      <c r="X189" s="76">
        <v>31.6</v>
      </c>
      <c r="Y189" s="75">
        <v>2</v>
      </c>
      <c r="Z189" s="76">
        <v>12.1</v>
      </c>
      <c r="AA189" s="75">
        <v>5</v>
      </c>
      <c r="AB189" s="76">
        <v>56</v>
      </c>
      <c r="AC189" s="75">
        <v>6</v>
      </c>
      <c r="AD189" s="76">
        <v>79.8</v>
      </c>
      <c r="AE189" s="75">
        <v>3</v>
      </c>
      <c r="AF189" s="76">
        <v>85</v>
      </c>
      <c r="AG189" s="75">
        <v>3</v>
      </c>
      <c r="AH189" s="76">
        <v>33.9</v>
      </c>
      <c r="AI189" s="75">
        <v>0</v>
      </c>
      <c r="AJ189" s="76">
        <v>0</v>
      </c>
      <c r="AK189" s="75">
        <v>392</v>
      </c>
      <c r="AL189" s="76">
        <v>383.67</v>
      </c>
    </row>
    <row r="190" spans="1:38" ht="13.5">
      <c r="A190" s="32" t="s">
        <v>23</v>
      </c>
      <c r="B190" s="75">
        <v>91</v>
      </c>
      <c r="C190" s="76">
        <v>24.55</v>
      </c>
      <c r="D190" s="75">
        <v>14</v>
      </c>
      <c r="E190" s="76">
        <v>27.2</v>
      </c>
      <c r="F190" s="75">
        <v>5</v>
      </c>
      <c r="G190" s="76">
        <v>26.8</v>
      </c>
      <c r="H190" s="75">
        <v>2</v>
      </c>
      <c r="I190" s="76">
        <v>29</v>
      </c>
      <c r="J190" s="75">
        <v>5</v>
      </c>
      <c r="K190" s="76">
        <v>67.2</v>
      </c>
      <c r="L190" s="75">
        <v>1</v>
      </c>
      <c r="M190" s="76">
        <v>2.9</v>
      </c>
      <c r="N190" s="75">
        <v>0</v>
      </c>
      <c r="O190" s="76">
        <v>0</v>
      </c>
      <c r="P190" s="75">
        <v>0</v>
      </c>
      <c r="Q190" s="76">
        <v>0</v>
      </c>
      <c r="R190" s="75">
        <v>118</v>
      </c>
      <c r="S190" s="76">
        <v>177.65</v>
      </c>
      <c r="T190" s="32" t="s">
        <v>23</v>
      </c>
      <c r="U190" s="75">
        <v>91</v>
      </c>
      <c r="V190" s="76">
        <v>24.51</v>
      </c>
      <c r="W190" s="75">
        <v>14</v>
      </c>
      <c r="X190" s="76">
        <v>26.6</v>
      </c>
      <c r="Y190" s="75">
        <v>5</v>
      </c>
      <c r="Z190" s="76">
        <v>23.8</v>
      </c>
      <c r="AA190" s="75">
        <v>2</v>
      </c>
      <c r="AB190" s="76">
        <v>28.8</v>
      </c>
      <c r="AC190" s="75">
        <v>5</v>
      </c>
      <c r="AD190" s="76">
        <v>64.6</v>
      </c>
      <c r="AE190" s="75">
        <v>1</v>
      </c>
      <c r="AF190" s="76">
        <v>2.9</v>
      </c>
      <c r="AG190" s="75">
        <v>0</v>
      </c>
      <c r="AH190" s="76">
        <v>0</v>
      </c>
      <c r="AI190" s="75">
        <v>0</v>
      </c>
      <c r="AJ190" s="76">
        <v>0</v>
      </c>
      <c r="AK190" s="75">
        <v>118</v>
      </c>
      <c r="AL190" s="76">
        <v>171.21</v>
      </c>
    </row>
    <row r="191" spans="1:38" ht="13.5">
      <c r="A191" s="32" t="s">
        <v>24</v>
      </c>
      <c r="B191" s="75">
        <v>31</v>
      </c>
      <c r="C191" s="76">
        <v>8.47</v>
      </c>
      <c r="D191" s="75">
        <v>7</v>
      </c>
      <c r="E191" s="76">
        <v>18.2</v>
      </c>
      <c r="F191" s="75">
        <v>7</v>
      </c>
      <c r="G191" s="76">
        <v>50</v>
      </c>
      <c r="H191" s="75">
        <v>12</v>
      </c>
      <c r="I191" s="76">
        <v>172.8</v>
      </c>
      <c r="J191" s="75">
        <v>7</v>
      </c>
      <c r="K191" s="76">
        <v>112.28</v>
      </c>
      <c r="L191" s="75">
        <v>7</v>
      </c>
      <c r="M191" s="76">
        <v>302.6</v>
      </c>
      <c r="N191" s="75">
        <v>1</v>
      </c>
      <c r="O191" s="76">
        <v>3.5</v>
      </c>
      <c r="P191" s="75">
        <v>0</v>
      </c>
      <c r="Q191" s="76">
        <v>0</v>
      </c>
      <c r="R191" s="75">
        <v>72</v>
      </c>
      <c r="S191" s="76">
        <v>667.85</v>
      </c>
      <c r="T191" s="32" t="s">
        <v>24</v>
      </c>
      <c r="U191" s="75">
        <v>31</v>
      </c>
      <c r="V191" s="76">
        <v>8.45</v>
      </c>
      <c r="W191" s="75">
        <v>7</v>
      </c>
      <c r="X191" s="76">
        <v>17.9</v>
      </c>
      <c r="Y191" s="75">
        <v>7</v>
      </c>
      <c r="Z191" s="76">
        <v>49.8</v>
      </c>
      <c r="AA191" s="75">
        <v>12</v>
      </c>
      <c r="AB191" s="76">
        <v>144.75</v>
      </c>
      <c r="AC191" s="75">
        <v>7</v>
      </c>
      <c r="AD191" s="76">
        <v>99.78</v>
      </c>
      <c r="AE191" s="75">
        <v>7</v>
      </c>
      <c r="AF191" s="76">
        <v>285.02</v>
      </c>
      <c r="AG191" s="75">
        <v>1</v>
      </c>
      <c r="AH191" s="76">
        <v>3.5</v>
      </c>
      <c r="AI191" s="75">
        <v>0</v>
      </c>
      <c r="AJ191" s="76">
        <v>0</v>
      </c>
      <c r="AK191" s="75">
        <v>72</v>
      </c>
      <c r="AL191" s="76">
        <v>609.2</v>
      </c>
    </row>
    <row r="192" spans="1:38" ht="13.5">
      <c r="A192" s="32" t="s">
        <v>58</v>
      </c>
      <c r="B192" s="75">
        <v>817</v>
      </c>
      <c r="C192" s="76">
        <v>157.48</v>
      </c>
      <c r="D192" s="75">
        <v>72</v>
      </c>
      <c r="E192" s="76">
        <v>150.9</v>
      </c>
      <c r="F192" s="75">
        <v>21</v>
      </c>
      <c r="G192" s="76">
        <v>116.60000000000001</v>
      </c>
      <c r="H192" s="75">
        <v>27</v>
      </c>
      <c r="I192" s="76">
        <v>558.3</v>
      </c>
      <c r="J192" s="75">
        <v>17</v>
      </c>
      <c r="K192" s="76">
        <v>344.9</v>
      </c>
      <c r="L192" s="75">
        <v>10</v>
      </c>
      <c r="M192" s="76">
        <v>583.7</v>
      </c>
      <c r="N192" s="75">
        <v>10</v>
      </c>
      <c r="O192" s="76">
        <v>118.39999999999999</v>
      </c>
      <c r="P192" s="75">
        <v>6</v>
      </c>
      <c r="Q192" s="76">
        <v>669.4</v>
      </c>
      <c r="R192" s="75">
        <v>980</v>
      </c>
      <c r="S192" s="76">
        <v>2699.68</v>
      </c>
      <c r="T192" s="32" t="s">
        <v>58</v>
      </c>
      <c r="U192" s="75">
        <v>797</v>
      </c>
      <c r="V192" s="76">
        <v>152.16000000000003</v>
      </c>
      <c r="W192" s="75">
        <v>67</v>
      </c>
      <c r="X192" s="76">
        <v>139.5</v>
      </c>
      <c r="Y192" s="75">
        <v>21</v>
      </c>
      <c r="Z192" s="76">
        <v>114.9</v>
      </c>
      <c r="AA192" s="75">
        <v>26</v>
      </c>
      <c r="AB192" s="76">
        <v>474.2</v>
      </c>
      <c r="AC192" s="75">
        <v>17</v>
      </c>
      <c r="AD192" s="76">
        <v>236</v>
      </c>
      <c r="AE192" s="75">
        <v>9</v>
      </c>
      <c r="AF192" s="76">
        <v>516.1</v>
      </c>
      <c r="AG192" s="75">
        <v>10</v>
      </c>
      <c r="AH192" s="76">
        <v>80.5</v>
      </c>
      <c r="AI192" s="75">
        <v>5</v>
      </c>
      <c r="AJ192" s="76">
        <v>565.8</v>
      </c>
      <c r="AK192" s="75">
        <v>952</v>
      </c>
      <c r="AL192" s="76">
        <v>2279.16</v>
      </c>
    </row>
    <row r="193" spans="1:38" ht="13.5">
      <c r="A193" s="32" t="s">
        <v>22</v>
      </c>
      <c r="B193" s="75">
        <v>643</v>
      </c>
      <c r="C193" s="76">
        <v>122.9</v>
      </c>
      <c r="D193" s="75">
        <v>49</v>
      </c>
      <c r="E193" s="76">
        <v>107.5</v>
      </c>
      <c r="F193" s="75">
        <v>14</v>
      </c>
      <c r="G193" s="76">
        <v>72.4</v>
      </c>
      <c r="H193" s="75">
        <v>6</v>
      </c>
      <c r="I193" s="76">
        <v>115.3</v>
      </c>
      <c r="J193" s="75">
        <v>5</v>
      </c>
      <c r="K193" s="76">
        <v>62.6</v>
      </c>
      <c r="L193" s="75">
        <v>0</v>
      </c>
      <c r="M193" s="76">
        <v>0</v>
      </c>
      <c r="N193" s="75">
        <v>1</v>
      </c>
      <c r="O193" s="76">
        <v>4.7</v>
      </c>
      <c r="P193" s="75">
        <v>0</v>
      </c>
      <c r="Q193" s="76">
        <v>0</v>
      </c>
      <c r="R193" s="75">
        <v>718</v>
      </c>
      <c r="S193" s="76">
        <v>485.4</v>
      </c>
      <c r="T193" s="32" t="s">
        <v>22</v>
      </c>
      <c r="U193" s="75">
        <v>637</v>
      </c>
      <c r="V193" s="76">
        <v>121.18</v>
      </c>
      <c r="W193" s="75">
        <v>47</v>
      </c>
      <c r="X193" s="76">
        <v>104</v>
      </c>
      <c r="Y193" s="75">
        <v>14</v>
      </c>
      <c r="Z193" s="76">
        <v>72.1</v>
      </c>
      <c r="AA193" s="75">
        <v>6</v>
      </c>
      <c r="AB193" s="76">
        <v>110.6</v>
      </c>
      <c r="AC193" s="75">
        <v>5</v>
      </c>
      <c r="AD193" s="76">
        <v>57.5</v>
      </c>
      <c r="AE193" s="75">
        <v>0</v>
      </c>
      <c r="AF193" s="76">
        <v>0</v>
      </c>
      <c r="AG193" s="75">
        <v>1</v>
      </c>
      <c r="AH193" s="76">
        <v>4.7</v>
      </c>
      <c r="AI193" s="75">
        <v>0</v>
      </c>
      <c r="AJ193" s="76">
        <v>0</v>
      </c>
      <c r="AK193" s="75">
        <v>710</v>
      </c>
      <c r="AL193" s="76">
        <v>470.08</v>
      </c>
    </row>
    <row r="194" spans="1:38" ht="13.5">
      <c r="A194" s="32" t="s">
        <v>23</v>
      </c>
      <c r="B194" s="75">
        <v>152</v>
      </c>
      <c r="C194" s="76">
        <v>29.23</v>
      </c>
      <c r="D194" s="75">
        <v>19</v>
      </c>
      <c r="E194" s="76">
        <v>37.5</v>
      </c>
      <c r="F194" s="75">
        <v>5</v>
      </c>
      <c r="G194" s="76">
        <v>28.3</v>
      </c>
      <c r="H194" s="75">
        <v>6</v>
      </c>
      <c r="I194" s="76">
        <v>115.8</v>
      </c>
      <c r="J194" s="75">
        <v>2</v>
      </c>
      <c r="K194" s="76">
        <v>37.6</v>
      </c>
      <c r="L194" s="75">
        <v>0</v>
      </c>
      <c r="M194" s="76">
        <v>0</v>
      </c>
      <c r="N194" s="75">
        <v>1</v>
      </c>
      <c r="O194" s="76">
        <v>6.6</v>
      </c>
      <c r="P194" s="75">
        <v>1</v>
      </c>
      <c r="Q194" s="76">
        <v>59.9</v>
      </c>
      <c r="R194" s="75">
        <v>186</v>
      </c>
      <c r="S194" s="76">
        <v>314.93</v>
      </c>
      <c r="T194" s="32" t="s">
        <v>23</v>
      </c>
      <c r="U194" s="75">
        <v>143</v>
      </c>
      <c r="V194" s="76">
        <v>27.68</v>
      </c>
      <c r="W194" s="75">
        <v>17</v>
      </c>
      <c r="X194" s="76">
        <v>30.6</v>
      </c>
      <c r="Y194" s="75">
        <v>5</v>
      </c>
      <c r="Z194" s="76">
        <v>26.9</v>
      </c>
      <c r="AA194" s="75">
        <v>6</v>
      </c>
      <c r="AB194" s="76">
        <v>69.1</v>
      </c>
      <c r="AC194" s="75">
        <v>2</v>
      </c>
      <c r="AD194" s="76">
        <v>36.3</v>
      </c>
      <c r="AE194" s="75">
        <v>0</v>
      </c>
      <c r="AF194" s="76">
        <v>0</v>
      </c>
      <c r="AG194" s="75">
        <v>1</v>
      </c>
      <c r="AH194" s="76">
        <v>6.6</v>
      </c>
      <c r="AI194" s="75">
        <v>1</v>
      </c>
      <c r="AJ194" s="76">
        <v>59.9</v>
      </c>
      <c r="AK194" s="75">
        <v>175</v>
      </c>
      <c r="AL194" s="76">
        <v>257.08</v>
      </c>
    </row>
    <row r="195" spans="1:38" ht="13.5">
      <c r="A195" s="32" t="s">
        <v>24</v>
      </c>
      <c r="B195" s="75">
        <v>22</v>
      </c>
      <c r="C195" s="76">
        <v>5.35</v>
      </c>
      <c r="D195" s="75">
        <v>4</v>
      </c>
      <c r="E195" s="76">
        <v>5.9</v>
      </c>
      <c r="F195" s="75">
        <v>2</v>
      </c>
      <c r="G195" s="76">
        <v>15.9</v>
      </c>
      <c r="H195" s="75">
        <v>15</v>
      </c>
      <c r="I195" s="76">
        <v>327.2</v>
      </c>
      <c r="J195" s="75">
        <v>10</v>
      </c>
      <c r="K195" s="76">
        <v>244.7</v>
      </c>
      <c r="L195" s="75">
        <v>10</v>
      </c>
      <c r="M195" s="76">
        <v>583.7</v>
      </c>
      <c r="N195" s="75">
        <v>8</v>
      </c>
      <c r="O195" s="76">
        <v>107.1</v>
      </c>
      <c r="P195" s="75">
        <v>5</v>
      </c>
      <c r="Q195" s="76">
        <v>609.5</v>
      </c>
      <c r="R195" s="75">
        <v>76</v>
      </c>
      <c r="S195" s="76">
        <v>1899.35</v>
      </c>
      <c r="T195" s="32" t="s">
        <v>24</v>
      </c>
      <c r="U195" s="75">
        <v>17</v>
      </c>
      <c r="V195" s="76">
        <v>3.3</v>
      </c>
      <c r="W195" s="75">
        <v>3</v>
      </c>
      <c r="X195" s="76">
        <v>4.9</v>
      </c>
      <c r="Y195" s="75">
        <v>2</v>
      </c>
      <c r="Z195" s="76">
        <v>15.9</v>
      </c>
      <c r="AA195" s="75">
        <v>14</v>
      </c>
      <c r="AB195" s="76">
        <v>294.5</v>
      </c>
      <c r="AC195" s="75">
        <v>10</v>
      </c>
      <c r="AD195" s="76">
        <v>142.2</v>
      </c>
      <c r="AE195" s="75">
        <v>9</v>
      </c>
      <c r="AF195" s="76">
        <v>516.1</v>
      </c>
      <c r="AG195" s="75">
        <v>8</v>
      </c>
      <c r="AH195" s="76">
        <v>69.2</v>
      </c>
      <c r="AI195" s="75">
        <v>4</v>
      </c>
      <c r="AJ195" s="76">
        <v>505.9</v>
      </c>
      <c r="AK195" s="75">
        <v>67</v>
      </c>
      <c r="AL195" s="76">
        <v>1552</v>
      </c>
    </row>
    <row r="196" spans="1:38" ht="13.5">
      <c r="A196" s="32" t="s">
        <v>59</v>
      </c>
      <c r="B196" s="75">
        <v>543</v>
      </c>
      <c r="C196" s="76">
        <v>141.31</v>
      </c>
      <c r="D196" s="75">
        <v>62</v>
      </c>
      <c r="E196" s="76">
        <v>209.71</v>
      </c>
      <c r="F196" s="75">
        <v>27</v>
      </c>
      <c r="G196" s="76">
        <v>183.6</v>
      </c>
      <c r="H196" s="75">
        <v>22</v>
      </c>
      <c r="I196" s="76">
        <v>703.1</v>
      </c>
      <c r="J196" s="75">
        <v>12</v>
      </c>
      <c r="K196" s="76">
        <v>228.10000000000002</v>
      </c>
      <c r="L196" s="75">
        <v>5</v>
      </c>
      <c r="M196" s="76">
        <v>46.1</v>
      </c>
      <c r="N196" s="75">
        <v>9</v>
      </c>
      <c r="O196" s="76">
        <v>23</v>
      </c>
      <c r="P196" s="75">
        <v>5</v>
      </c>
      <c r="Q196" s="76">
        <v>506.5</v>
      </c>
      <c r="R196" s="75">
        <v>685</v>
      </c>
      <c r="S196" s="76">
        <v>2041.42</v>
      </c>
      <c r="T196" s="32" t="s">
        <v>59</v>
      </c>
      <c r="U196" s="75">
        <v>472</v>
      </c>
      <c r="V196" s="76">
        <v>108.91000000000001</v>
      </c>
      <c r="W196" s="75">
        <v>40</v>
      </c>
      <c r="X196" s="76">
        <v>91.5</v>
      </c>
      <c r="Y196" s="75">
        <v>23</v>
      </c>
      <c r="Z196" s="76">
        <v>146.2</v>
      </c>
      <c r="AA196" s="75">
        <v>21</v>
      </c>
      <c r="AB196" s="76">
        <v>546.3</v>
      </c>
      <c r="AC196" s="75">
        <v>11</v>
      </c>
      <c r="AD196" s="76">
        <v>153.2</v>
      </c>
      <c r="AE196" s="75">
        <v>2</v>
      </c>
      <c r="AF196" s="76">
        <v>6.6</v>
      </c>
      <c r="AG196" s="75">
        <v>9</v>
      </c>
      <c r="AH196" s="76">
        <v>20.5</v>
      </c>
      <c r="AI196" s="75">
        <v>5</v>
      </c>
      <c r="AJ196" s="76">
        <v>420.3</v>
      </c>
      <c r="AK196" s="75">
        <v>583</v>
      </c>
      <c r="AL196" s="76">
        <v>1493.51</v>
      </c>
    </row>
    <row r="197" spans="1:38" ht="13.5">
      <c r="A197" s="32" t="s">
        <v>22</v>
      </c>
      <c r="B197" s="75">
        <v>376</v>
      </c>
      <c r="C197" s="76">
        <v>97.63</v>
      </c>
      <c r="D197" s="75">
        <v>37</v>
      </c>
      <c r="E197" s="76">
        <v>93.7</v>
      </c>
      <c r="F197" s="75">
        <v>10</v>
      </c>
      <c r="G197" s="76">
        <v>69.1</v>
      </c>
      <c r="H197" s="75">
        <v>7</v>
      </c>
      <c r="I197" s="76">
        <v>261.1</v>
      </c>
      <c r="J197" s="75">
        <v>3</v>
      </c>
      <c r="K197" s="76">
        <v>28.3</v>
      </c>
      <c r="L197" s="75">
        <v>2</v>
      </c>
      <c r="M197" s="76">
        <v>42.4</v>
      </c>
      <c r="N197" s="75">
        <v>6</v>
      </c>
      <c r="O197" s="76">
        <v>6.5</v>
      </c>
      <c r="P197" s="75">
        <v>1</v>
      </c>
      <c r="Q197" s="76">
        <v>67</v>
      </c>
      <c r="R197" s="75">
        <v>442</v>
      </c>
      <c r="S197" s="76">
        <v>665.73</v>
      </c>
      <c r="T197" s="32" t="s">
        <v>22</v>
      </c>
      <c r="U197" s="75">
        <v>330</v>
      </c>
      <c r="V197" s="76">
        <v>74.12</v>
      </c>
      <c r="W197" s="75">
        <v>26</v>
      </c>
      <c r="X197" s="76">
        <v>43.8</v>
      </c>
      <c r="Y197" s="75">
        <v>9</v>
      </c>
      <c r="Z197" s="76">
        <v>53.9</v>
      </c>
      <c r="AA197" s="75">
        <v>7</v>
      </c>
      <c r="AB197" s="76">
        <v>209.5</v>
      </c>
      <c r="AC197" s="75">
        <v>3</v>
      </c>
      <c r="AD197" s="76">
        <v>28.3</v>
      </c>
      <c r="AE197" s="75">
        <v>1</v>
      </c>
      <c r="AF197" s="76">
        <v>4.6</v>
      </c>
      <c r="AG197" s="75">
        <v>6</v>
      </c>
      <c r="AH197" s="76">
        <v>6.2</v>
      </c>
      <c r="AI197" s="75">
        <v>1</v>
      </c>
      <c r="AJ197" s="76">
        <v>43.5</v>
      </c>
      <c r="AK197" s="75">
        <v>383</v>
      </c>
      <c r="AL197" s="76">
        <v>463.92</v>
      </c>
    </row>
    <row r="198" spans="1:38" ht="13.5">
      <c r="A198" s="32" t="s">
        <v>23</v>
      </c>
      <c r="B198" s="75">
        <v>156</v>
      </c>
      <c r="C198" s="76">
        <v>40.71</v>
      </c>
      <c r="D198" s="75">
        <v>22</v>
      </c>
      <c r="E198" s="76">
        <v>91.11</v>
      </c>
      <c r="F198" s="75">
        <v>7</v>
      </c>
      <c r="G198" s="76">
        <v>32.7</v>
      </c>
      <c r="H198" s="75">
        <v>5</v>
      </c>
      <c r="I198" s="76">
        <v>175.9</v>
      </c>
      <c r="J198" s="75">
        <v>2</v>
      </c>
      <c r="K198" s="76">
        <v>27.9</v>
      </c>
      <c r="L198" s="75">
        <v>1</v>
      </c>
      <c r="M198" s="76">
        <v>2</v>
      </c>
      <c r="N198" s="75">
        <v>0</v>
      </c>
      <c r="O198" s="76">
        <v>0</v>
      </c>
      <c r="P198" s="75">
        <v>0</v>
      </c>
      <c r="Q198" s="76">
        <v>0</v>
      </c>
      <c r="R198" s="75">
        <v>193</v>
      </c>
      <c r="S198" s="76">
        <v>370.32</v>
      </c>
      <c r="T198" s="32" t="s">
        <v>23</v>
      </c>
      <c r="U198" s="75">
        <v>134</v>
      </c>
      <c r="V198" s="76">
        <v>32.89</v>
      </c>
      <c r="W198" s="75">
        <v>13</v>
      </c>
      <c r="X198" s="76">
        <v>33.1</v>
      </c>
      <c r="Y198" s="75">
        <v>5</v>
      </c>
      <c r="Z198" s="76">
        <v>19.5</v>
      </c>
      <c r="AA198" s="75">
        <v>4</v>
      </c>
      <c r="AB198" s="76">
        <v>144.6</v>
      </c>
      <c r="AC198" s="75">
        <v>1</v>
      </c>
      <c r="AD198" s="76">
        <v>16</v>
      </c>
      <c r="AE198" s="75">
        <v>1</v>
      </c>
      <c r="AF198" s="76">
        <v>2</v>
      </c>
      <c r="AG198" s="75">
        <v>0</v>
      </c>
      <c r="AH198" s="76">
        <v>0</v>
      </c>
      <c r="AI198" s="75">
        <v>0</v>
      </c>
      <c r="AJ198" s="76">
        <v>0</v>
      </c>
      <c r="AK198" s="75">
        <v>158</v>
      </c>
      <c r="AL198" s="76">
        <v>248.09</v>
      </c>
    </row>
    <row r="199" spans="1:38" ht="13.5">
      <c r="A199" s="32" t="s">
        <v>24</v>
      </c>
      <c r="B199" s="75">
        <v>11</v>
      </c>
      <c r="C199" s="76">
        <v>2.97</v>
      </c>
      <c r="D199" s="75">
        <v>3</v>
      </c>
      <c r="E199" s="76">
        <v>24.9</v>
      </c>
      <c r="F199" s="75">
        <v>10</v>
      </c>
      <c r="G199" s="76">
        <v>81.8</v>
      </c>
      <c r="H199" s="75">
        <v>10</v>
      </c>
      <c r="I199" s="76">
        <v>266.1</v>
      </c>
      <c r="J199" s="75">
        <v>7</v>
      </c>
      <c r="K199" s="76">
        <v>171.9</v>
      </c>
      <c r="L199" s="75">
        <v>2</v>
      </c>
      <c r="M199" s="76">
        <v>1.7</v>
      </c>
      <c r="N199" s="75">
        <v>3</v>
      </c>
      <c r="O199" s="76">
        <v>16.5</v>
      </c>
      <c r="P199" s="75">
        <v>4</v>
      </c>
      <c r="Q199" s="76">
        <v>439.5</v>
      </c>
      <c r="R199" s="75">
        <v>50</v>
      </c>
      <c r="S199" s="76">
        <v>1005.37</v>
      </c>
      <c r="T199" s="32" t="s">
        <v>24</v>
      </c>
      <c r="U199" s="75">
        <v>8</v>
      </c>
      <c r="V199" s="76">
        <v>1.9</v>
      </c>
      <c r="W199" s="75">
        <v>1</v>
      </c>
      <c r="X199" s="76">
        <v>14.6</v>
      </c>
      <c r="Y199" s="75">
        <v>9</v>
      </c>
      <c r="Z199" s="76">
        <v>72.8</v>
      </c>
      <c r="AA199" s="75">
        <v>10</v>
      </c>
      <c r="AB199" s="76">
        <v>192.2</v>
      </c>
      <c r="AC199" s="75">
        <v>7</v>
      </c>
      <c r="AD199" s="76">
        <v>108.9</v>
      </c>
      <c r="AE199" s="75">
        <v>0</v>
      </c>
      <c r="AF199" s="76">
        <v>0</v>
      </c>
      <c r="AG199" s="75">
        <v>3</v>
      </c>
      <c r="AH199" s="76">
        <v>14.3</v>
      </c>
      <c r="AI199" s="75">
        <v>4</v>
      </c>
      <c r="AJ199" s="76">
        <v>376.8</v>
      </c>
      <c r="AK199" s="75">
        <v>42</v>
      </c>
      <c r="AL199" s="76">
        <v>781.5</v>
      </c>
    </row>
    <row r="200" spans="1:38" ht="13.5">
      <c r="A200" s="32"/>
      <c r="B200" s="19"/>
      <c r="C200" s="20"/>
      <c r="D200" s="19"/>
      <c r="E200" s="20"/>
      <c r="F200" s="19"/>
      <c r="G200" s="20"/>
      <c r="H200" s="19"/>
      <c r="I200" s="20"/>
      <c r="J200" s="19"/>
      <c r="K200" s="20"/>
      <c r="L200" s="19"/>
      <c r="M200" s="20"/>
      <c r="N200" s="19"/>
      <c r="O200" s="20"/>
      <c r="P200" s="19"/>
      <c r="Q200" s="20"/>
      <c r="R200" s="19"/>
      <c r="S200" s="20"/>
      <c r="T200" s="32"/>
      <c r="U200" s="19"/>
      <c r="V200" s="20"/>
      <c r="W200" s="19"/>
      <c r="X200" s="20"/>
      <c r="Y200" s="19"/>
      <c r="Z200" s="20"/>
      <c r="AA200" s="19"/>
      <c r="AB200" s="20"/>
      <c r="AC200" s="19"/>
      <c r="AD200" s="20"/>
      <c r="AE200" s="19"/>
      <c r="AF200" s="20"/>
      <c r="AG200" s="19"/>
      <c r="AH200" s="20"/>
      <c r="AI200" s="19"/>
      <c r="AJ200" s="20"/>
      <c r="AK200" s="19"/>
      <c r="AL200" s="20"/>
    </row>
    <row r="201" spans="1:38" ht="13.5">
      <c r="A201" s="32" t="s">
        <v>60</v>
      </c>
      <c r="B201" s="75">
        <v>73</v>
      </c>
      <c r="C201" s="76">
        <v>13.59</v>
      </c>
      <c r="D201" s="75">
        <v>12</v>
      </c>
      <c r="E201" s="76">
        <v>20.9</v>
      </c>
      <c r="F201" s="75">
        <v>5</v>
      </c>
      <c r="G201" s="76">
        <v>22.4</v>
      </c>
      <c r="H201" s="75">
        <v>8</v>
      </c>
      <c r="I201" s="76">
        <v>186.7</v>
      </c>
      <c r="J201" s="75">
        <v>4</v>
      </c>
      <c r="K201" s="76">
        <v>56.4</v>
      </c>
      <c r="L201" s="75">
        <v>3</v>
      </c>
      <c r="M201" s="76">
        <v>83.4</v>
      </c>
      <c r="N201" s="75">
        <v>3</v>
      </c>
      <c r="O201" s="76">
        <v>105.91999999999999</v>
      </c>
      <c r="P201" s="75">
        <v>2</v>
      </c>
      <c r="Q201" s="76">
        <v>152.2</v>
      </c>
      <c r="R201" s="75">
        <v>110</v>
      </c>
      <c r="S201" s="76">
        <v>641.51</v>
      </c>
      <c r="T201" s="32" t="s">
        <v>60</v>
      </c>
      <c r="U201" s="75">
        <v>71</v>
      </c>
      <c r="V201" s="76">
        <v>13.080000000000002</v>
      </c>
      <c r="W201" s="75">
        <v>12</v>
      </c>
      <c r="X201" s="76">
        <v>20.8</v>
      </c>
      <c r="Y201" s="75">
        <v>5</v>
      </c>
      <c r="Z201" s="76">
        <v>19.5</v>
      </c>
      <c r="AA201" s="75">
        <v>8</v>
      </c>
      <c r="AB201" s="76">
        <v>109.4</v>
      </c>
      <c r="AC201" s="75">
        <v>3</v>
      </c>
      <c r="AD201" s="76">
        <v>42.2</v>
      </c>
      <c r="AE201" s="75">
        <v>3</v>
      </c>
      <c r="AF201" s="76">
        <v>32.3</v>
      </c>
      <c r="AG201" s="75">
        <v>2</v>
      </c>
      <c r="AH201" s="76">
        <v>78.2</v>
      </c>
      <c r="AI201" s="75">
        <v>2</v>
      </c>
      <c r="AJ201" s="76">
        <v>65.8</v>
      </c>
      <c r="AK201" s="75">
        <v>106</v>
      </c>
      <c r="AL201" s="76">
        <v>381.28</v>
      </c>
    </row>
    <row r="202" spans="1:38" ht="13.5">
      <c r="A202" s="32" t="s">
        <v>22</v>
      </c>
      <c r="B202" s="75">
        <v>40</v>
      </c>
      <c r="C202" s="76">
        <v>7.77</v>
      </c>
      <c r="D202" s="75">
        <v>4</v>
      </c>
      <c r="E202" s="76">
        <v>5</v>
      </c>
      <c r="F202" s="75">
        <v>2</v>
      </c>
      <c r="G202" s="76">
        <v>10.6</v>
      </c>
      <c r="H202" s="75">
        <v>1</v>
      </c>
      <c r="I202" s="76">
        <v>23.5</v>
      </c>
      <c r="J202" s="75">
        <v>3</v>
      </c>
      <c r="K202" s="76">
        <v>48.9</v>
      </c>
      <c r="L202" s="75">
        <v>0</v>
      </c>
      <c r="M202" s="76">
        <v>0</v>
      </c>
      <c r="N202" s="75">
        <v>1</v>
      </c>
      <c r="O202" s="76">
        <v>1.82</v>
      </c>
      <c r="P202" s="75">
        <v>0</v>
      </c>
      <c r="Q202" s="76">
        <v>0</v>
      </c>
      <c r="R202" s="75">
        <v>51</v>
      </c>
      <c r="S202" s="76">
        <v>97.59</v>
      </c>
      <c r="T202" s="32" t="s">
        <v>22</v>
      </c>
      <c r="U202" s="75">
        <v>39</v>
      </c>
      <c r="V202" s="76">
        <v>7.73</v>
      </c>
      <c r="W202" s="75">
        <v>4</v>
      </c>
      <c r="X202" s="76">
        <v>5</v>
      </c>
      <c r="Y202" s="75">
        <v>2</v>
      </c>
      <c r="Z202" s="76">
        <v>10</v>
      </c>
      <c r="AA202" s="75">
        <v>1</v>
      </c>
      <c r="AB202" s="76">
        <v>20</v>
      </c>
      <c r="AC202" s="75">
        <v>2</v>
      </c>
      <c r="AD202" s="76">
        <v>34.7</v>
      </c>
      <c r="AE202" s="75">
        <v>0</v>
      </c>
      <c r="AF202" s="76">
        <v>0</v>
      </c>
      <c r="AG202" s="75">
        <v>0</v>
      </c>
      <c r="AH202" s="76">
        <v>0</v>
      </c>
      <c r="AI202" s="75">
        <v>0</v>
      </c>
      <c r="AJ202" s="76">
        <v>0</v>
      </c>
      <c r="AK202" s="75">
        <v>48</v>
      </c>
      <c r="AL202" s="76">
        <v>77.43</v>
      </c>
    </row>
    <row r="203" spans="1:38" ht="13.5">
      <c r="A203" s="32" t="s">
        <v>23</v>
      </c>
      <c r="B203" s="75">
        <v>24</v>
      </c>
      <c r="C203" s="76">
        <v>4.09</v>
      </c>
      <c r="D203" s="75">
        <v>2</v>
      </c>
      <c r="E203" s="76">
        <v>4.4</v>
      </c>
      <c r="F203" s="75">
        <v>0</v>
      </c>
      <c r="G203" s="76">
        <v>0</v>
      </c>
      <c r="H203" s="75">
        <v>2</v>
      </c>
      <c r="I203" s="76">
        <v>29.3</v>
      </c>
      <c r="J203" s="75">
        <v>0</v>
      </c>
      <c r="K203" s="76">
        <v>0</v>
      </c>
      <c r="L203" s="75">
        <v>1</v>
      </c>
      <c r="M203" s="76">
        <v>5.2</v>
      </c>
      <c r="N203" s="75">
        <v>0</v>
      </c>
      <c r="O203" s="76">
        <v>0</v>
      </c>
      <c r="P203" s="75">
        <v>0</v>
      </c>
      <c r="Q203" s="76">
        <v>0</v>
      </c>
      <c r="R203" s="75">
        <v>29</v>
      </c>
      <c r="S203" s="76">
        <v>42.99</v>
      </c>
      <c r="T203" s="32" t="s">
        <v>23</v>
      </c>
      <c r="U203" s="75">
        <v>23</v>
      </c>
      <c r="V203" s="76">
        <v>3.8</v>
      </c>
      <c r="W203" s="75">
        <v>2</v>
      </c>
      <c r="X203" s="76">
        <v>4.4</v>
      </c>
      <c r="Y203" s="75">
        <v>0</v>
      </c>
      <c r="Z203" s="76">
        <v>0</v>
      </c>
      <c r="AA203" s="75">
        <v>2</v>
      </c>
      <c r="AB203" s="76">
        <v>27.8</v>
      </c>
      <c r="AC203" s="75">
        <v>0</v>
      </c>
      <c r="AD203" s="76">
        <v>0</v>
      </c>
      <c r="AE203" s="75">
        <v>1</v>
      </c>
      <c r="AF203" s="76">
        <v>3.4</v>
      </c>
      <c r="AG203" s="75">
        <v>0</v>
      </c>
      <c r="AH203" s="76">
        <v>0</v>
      </c>
      <c r="AI203" s="75">
        <v>0</v>
      </c>
      <c r="AJ203" s="76">
        <v>0</v>
      </c>
      <c r="AK203" s="75">
        <v>28</v>
      </c>
      <c r="AL203" s="76">
        <v>39.4</v>
      </c>
    </row>
    <row r="204" spans="1:38" ht="13.5">
      <c r="A204" s="32" t="s">
        <v>24</v>
      </c>
      <c r="B204" s="75">
        <v>9</v>
      </c>
      <c r="C204" s="76">
        <v>1.73</v>
      </c>
      <c r="D204" s="75">
        <v>6</v>
      </c>
      <c r="E204" s="76">
        <v>11.5</v>
      </c>
      <c r="F204" s="75">
        <v>3</v>
      </c>
      <c r="G204" s="76">
        <v>11.8</v>
      </c>
      <c r="H204" s="75">
        <v>5</v>
      </c>
      <c r="I204" s="76">
        <v>133.9</v>
      </c>
      <c r="J204" s="75">
        <v>1</v>
      </c>
      <c r="K204" s="76">
        <v>7.5</v>
      </c>
      <c r="L204" s="75">
        <v>2</v>
      </c>
      <c r="M204" s="76">
        <v>78.2</v>
      </c>
      <c r="N204" s="75">
        <v>2</v>
      </c>
      <c r="O204" s="76">
        <v>104.1</v>
      </c>
      <c r="P204" s="75">
        <v>2</v>
      </c>
      <c r="Q204" s="76">
        <v>152.2</v>
      </c>
      <c r="R204" s="75">
        <v>30</v>
      </c>
      <c r="S204" s="76">
        <v>500.93</v>
      </c>
      <c r="T204" s="32" t="s">
        <v>24</v>
      </c>
      <c r="U204" s="75">
        <v>9</v>
      </c>
      <c r="V204" s="76">
        <v>1.55</v>
      </c>
      <c r="W204" s="75">
        <v>6</v>
      </c>
      <c r="X204" s="76">
        <v>11.4</v>
      </c>
      <c r="Y204" s="75">
        <v>3</v>
      </c>
      <c r="Z204" s="76">
        <v>9.5</v>
      </c>
      <c r="AA204" s="75">
        <v>5</v>
      </c>
      <c r="AB204" s="76">
        <v>61.6</v>
      </c>
      <c r="AC204" s="75">
        <v>1</v>
      </c>
      <c r="AD204" s="76">
        <v>7.5</v>
      </c>
      <c r="AE204" s="75">
        <v>2</v>
      </c>
      <c r="AF204" s="76">
        <v>28.9</v>
      </c>
      <c r="AG204" s="75">
        <v>2</v>
      </c>
      <c r="AH204" s="76">
        <v>78.2</v>
      </c>
      <c r="AI204" s="75">
        <v>2</v>
      </c>
      <c r="AJ204" s="76">
        <v>65.8</v>
      </c>
      <c r="AK204" s="75">
        <v>30</v>
      </c>
      <c r="AL204" s="76">
        <v>264.45</v>
      </c>
    </row>
    <row r="205" spans="1:38" ht="13.5">
      <c r="A205" s="32" t="s">
        <v>61</v>
      </c>
      <c r="B205" s="75">
        <v>126</v>
      </c>
      <c r="C205" s="76">
        <v>31.11</v>
      </c>
      <c r="D205" s="75">
        <v>21</v>
      </c>
      <c r="E205" s="76">
        <v>38.7</v>
      </c>
      <c r="F205" s="75">
        <v>12</v>
      </c>
      <c r="G205" s="76">
        <v>68.1</v>
      </c>
      <c r="H205" s="75">
        <v>6</v>
      </c>
      <c r="I205" s="76">
        <v>76.9</v>
      </c>
      <c r="J205" s="75">
        <v>6</v>
      </c>
      <c r="K205" s="76">
        <v>152.7</v>
      </c>
      <c r="L205" s="75">
        <v>5</v>
      </c>
      <c r="M205" s="76">
        <v>112.4</v>
      </c>
      <c r="N205" s="75">
        <v>3</v>
      </c>
      <c r="O205" s="76">
        <v>104.80000000000001</v>
      </c>
      <c r="P205" s="75">
        <v>2</v>
      </c>
      <c r="Q205" s="76">
        <v>450.3</v>
      </c>
      <c r="R205" s="75">
        <v>181</v>
      </c>
      <c r="S205" s="76">
        <v>1035.01</v>
      </c>
      <c r="T205" s="32" t="s">
        <v>61</v>
      </c>
      <c r="U205" s="75">
        <v>123</v>
      </c>
      <c r="V205" s="76">
        <v>29.02</v>
      </c>
      <c r="W205" s="75">
        <v>19</v>
      </c>
      <c r="X205" s="76">
        <v>34.3</v>
      </c>
      <c r="Y205" s="75">
        <v>12</v>
      </c>
      <c r="Z205" s="76">
        <v>66.2</v>
      </c>
      <c r="AA205" s="75">
        <v>6</v>
      </c>
      <c r="AB205" s="76">
        <v>73.9</v>
      </c>
      <c r="AC205" s="75">
        <v>5</v>
      </c>
      <c r="AD205" s="76">
        <v>107.6</v>
      </c>
      <c r="AE205" s="75">
        <v>5</v>
      </c>
      <c r="AF205" s="76">
        <v>96.6</v>
      </c>
      <c r="AG205" s="75">
        <v>3</v>
      </c>
      <c r="AH205" s="76">
        <v>103.8</v>
      </c>
      <c r="AI205" s="75">
        <v>2</v>
      </c>
      <c r="AJ205" s="76">
        <v>417.9</v>
      </c>
      <c r="AK205" s="75">
        <v>175</v>
      </c>
      <c r="AL205" s="76">
        <v>929.3199999999999</v>
      </c>
    </row>
    <row r="206" spans="1:38" ht="13.5">
      <c r="A206" s="32" t="s">
        <v>22</v>
      </c>
      <c r="B206" s="75">
        <v>94</v>
      </c>
      <c r="C206" s="76">
        <v>22.06</v>
      </c>
      <c r="D206" s="75">
        <v>9</v>
      </c>
      <c r="E206" s="76">
        <v>12.4</v>
      </c>
      <c r="F206" s="75">
        <v>1</v>
      </c>
      <c r="G206" s="76">
        <v>3.4</v>
      </c>
      <c r="H206" s="75">
        <v>0</v>
      </c>
      <c r="I206" s="76">
        <v>0</v>
      </c>
      <c r="J206" s="75">
        <v>0</v>
      </c>
      <c r="K206" s="76">
        <v>0</v>
      </c>
      <c r="L206" s="75">
        <v>1</v>
      </c>
      <c r="M206" s="76">
        <v>38.7</v>
      </c>
      <c r="N206" s="75">
        <v>2</v>
      </c>
      <c r="O206" s="76">
        <v>29.4</v>
      </c>
      <c r="P206" s="75">
        <v>0</v>
      </c>
      <c r="Q206" s="76">
        <v>0</v>
      </c>
      <c r="R206" s="75">
        <v>107</v>
      </c>
      <c r="S206" s="76">
        <v>105.96</v>
      </c>
      <c r="T206" s="32" t="s">
        <v>22</v>
      </c>
      <c r="U206" s="75">
        <v>92</v>
      </c>
      <c r="V206" s="76">
        <v>20.32</v>
      </c>
      <c r="W206" s="75">
        <v>8</v>
      </c>
      <c r="X206" s="76">
        <v>11.1</v>
      </c>
      <c r="Y206" s="75">
        <v>1</v>
      </c>
      <c r="Z206" s="76">
        <v>3.4</v>
      </c>
      <c r="AA206" s="75">
        <v>0</v>
      </c>
      <c r="AB206" s="76">
        <v>0</v>
      </c>
      <c r="AC206" s="75">
        <v>0</v>
      </c>
      <c r="AD206" s="76">
        <v>0</v>
      </c>
      <c r="AE206" s="75">
        <v>1</v>
      </c>
      <c r="AF206" s="76">
        <v>38.6</v>
      </c>
      <c r="AG206" s="75">
        <v>2</v>
      </c>
      <c r="AH206" s="76">
        <v>28.5</v>
      </c>
      <c r="AI206" s="75">
        <v>0</v>
      </c>
      <c r="AJ206" s="76">
        <v>0</v>
      </c>
      <c r="AK206" s="75">
        <v>104</v>
      </c>
      <c r="AL206" s="76">
        <v>101.92</v>
      </c>
    </row>
    <row r="207" spans="1:38" ht="13.5">
      <c r="A207" s="32" t="s">
        <v>23</v>
      </c>
      <c r="B207" s="75">
        <v>22</v>
      </c>
      <c r="C207" s="76">
        <v>6.25</v>
      </c>
      <c r="D207" s="75">
        <v>5</v>
      </c>
      <c r="E207" s="76">
        <v>8.1</v>
      </c>
      <c r="F207" s="75">
        <v>2</v>
      </c>
      <c r="G207" s="76">
        <v>9.9</v>
      </c>
      <c r="H207" s="75">
        <v>0</v>
      </c>
      <c r="I207" s="76">
        <v>0</v>
      </c>
      <c r="J207" s="75">
        <v>1</v>
      </c>
      <c r="K207" s="76">
        <v>37.8</v>
      </c>
      <c r="L207" s="75">
        <v>1</v>
      </c>
      <c r="M207" s="76">
        <v>11.1</v>
      </c>
      <c r="N207" s="75">
        <v>0</v>
      </c>
      <c r="O207" s="76">
        <v>0</v>
      </c>
      <c r="P207" s="75">
        <v>0</v>
      </c>
      <c r="Q207" s="76">
        <v>0</v>
      </c>
      <c r="R207" s="75">
        <v>31</v>
      </c>
      <c r="S207" s="76">
        <v>73.15</v>
      </c>
      <c r="T207" s="32" t="s">
        <v>23</v>
      </c>
      <c r="U207" s="75">
        <v>22</v>
      </c>
      <c r="V207" s="76">
        <v>6.13</v>
      </c>
      <c r="W207" s="75">
        <v>5</v>
      </c>
      <c r="X207" s="76">
        <v>7.7</v>
      </c>
      <c r="Y207" s="75">
        <v>2</v>
      </c>
      <c r="Z207" s="76">
        <v>8.3</v>
      </c>
      <c r="AA207" s="75">
        <v>0</v>
      </c>
      <c r="AB207" s="76">
        <v>0</v>
      </c>
      <c r="AC207" s="75">
        <v>1</v>
      </c>
      <c r="AD207" s="76">
        <v>31.4</v>
      </c>
      <c r="AE207" s="75">
        <v>1</v>
      </c>
      <c r="AF207" s="76">
        <v>10.1</v>
      </c>
      <c r="AG207" s="75">
        <v>0</v>
      </c>
      <c r="AH207" s="76">
        <v>0</v>
      </c>
      <c r="AI207" s="75">
        <v>0</v>
      </c>
      <c r="AJ207" s="76">
        <v>0</v>
      </c>
      <c r="AK207" s="75">
        <v>31</v>
      </c>
      <c r="AL207" s="76">
        <v>63.63</v>
      </c>
    </row>
    <row r="208" spans="1:38" ht="13.5">
      <c r="A208" s="32" t="s">
        <v>24</v>
      </c>
      <c r="B208" s="75">
        <v>10</v>
      </c>
      <c r="C208" s="76">
        <v>2.8</v>
      </c>
      <c r="D208" s="75">
        <v>7</v>
      </c>
      <c r="E208" s="76">
        <v>18.2</v>
      </c>
      <c r="F208" s="75">
        <v>9</v>
      </c>
      <c r="G208" s="76">
        <v>54.8</v>
      </c>
      <c r="H208" s="75">
        <v>6</v>
      </c>
      <c r="I208" s="76">
        <v>76.9</v>
      </c>
      <c r="J208" s="75">
        <v>5</v>
      </c>
      <c r="K208" s="76">
        <v>114.9</v>
      </c>
      <c r="L208" s="75">
        <v>3</v>
      </c>
      <c r="M208" s="76">
        <v>62.6</v>
      </c>
      <c r="N208" s="75">
        <v>1</v>
      </c>
      <c r="O208" s="76">
        <v>75.4</v>
      </c>
      <c r="P208" s="75">
        <v>2</v>
      </c>
      <c r="Q208" s="76">
        <v>450.3</v>
      </c>
      <c r="R208" s="75">
        <v>43</v>
      </c>
      <c r="S208" s="76">
        <v>855.9</v>
      </c>
      <c r="T208" s="32" t="s">
        <v>24</v>
      </c>
      <c r="U208" s="75">
        <v>9</v>
      </c>
      <c r="V208" s="76">
        <v>2.57</v>
      </c>
      <c r="W208" s="75">
        <v>6</v>
      </c>
      <c r="X208" s="76">
        <v>15.5</v>
      </c>
      <c r="Y208" s="75">
        <v>9</v>
      </c>
      <c r="Z208" s="76">
        <v>54.5</v>
      </c>
      <c r="AA208" s="75">
        <v>6</v>
      </c>
      <c r="AB208" s="76">
        <v>73.9</v>
      </c>
      <c r="AC208" s="75">
        <v>4</v>
      </c>
      <c r="AD208" s="76">
        <v>76.2</v>
      </c>
      <c r="AE208" s="75">
        <v>3</v>
      </c>
      <c r="AF208" s="76">
        <v>47.9</v>
      </c>
      <c r="AG208" s="75">
        <v>1</v>
      </c>
      <c r="AH208" s="76">
        <v>75.3</v>
      </c>
      <c r="AI208" s="75">
        <v>2</v>
      </c>
      <c r="AJ208" s="76">
        <v>417.9</v>
      </c>
      <c r="AK208" s="75">
        <v>40</v>
      </c>
      <c r="AL208" s="76">
        <v>763.77</v>
      </c>
    </row>
    <row r="209" spans="1:38" ht="13.5">
      <c r="A209" s="32" t="s">
        <v>62</v>
      </c>
      <c r="B209" s="75">
        <v>191</v>
      </c>
      <c r="C209" s="76">
        <v>46.57</v>
      </c>
      <c r="D209" s="75">
        <v>36</v>
      </c>
      <c r="E209" s="76">
        <v>66</v>
      </c>
      <c r="F209" s="75">
        <v>20</v>
      </c>
      <c r="G209" s="76">
        <v>118</v>
      </c>
      <c r="H209" s="75">
        <v>27</v>
      </c>
      <c r="I209" s="76">
        <v>1203.2</v>
      </c>
      <c r="J209" s="75">
        <v>10</v>
      </c>
      <c r="K209" s="76">
        <v>203.3</v>
      </c>
      <c r="L209" s="75">
        <v>12</v>
      </c>
      <c r="M209" s="76">
        <v>385.8</v>
      </c>
      <c r="N209" s="75">
        <v>6</v>
      </c>
      <c r="O209" s="76">
        <v>36.599999999999994</v>
      </c>
      <c r="P209" s="75">
        <v>2</v>
      </c>
      <c r="Q209" s="76">
        <v>154.8</v>
      </c>
      <c r="R209" s="75">
        <v>304</v>
      </c>
      <c r="S209" s="76">
        <v>2214.27</v>
      </c>
      <c r="T209" s="32" t="s">
        <v>62</v>
      </c>
      <c r="U209" s="75">
        <v>182</v>
      </c>
      <c r="V209" s="76">
        <v>39.47</v>
      </c>
      <c r="W209" s="75">
        <v>24</v>
      </c>
      <c r="X209" s="76">
        <v>34.8</v>
      </c>
      <c r="Y209" s="75">
        <v>16</v>
      </c>
      <c r="Z209" s="76">
        <v>94.9</v>
      </c>
      <c r="AA209" s="75">
        <v>25</v>
      </c>
      <c r="AB209" s="76">
        <v>582.6</v>
      </c>
      <c r="AC209" s="75">
        <v>10</v>
      </c>
      <c r="AD209" s="76">
        <v>165.9</v>
      </c>
      <c r="AE209" s="75">
        <v>10</v>
      </c>
      <c r="AF209" s="76">
        <v>174.5</v>
      </c>
      <c r="AG209" s="75">
        <v>6</v>
      </c>
      <c r="AH209" s="76">
        <v>27.200000000000003</v>
      </c>
      <c r="AI209" s="75">
        <v>2</v>
      </c>
      <c r="AJ209" s="76">
        <v>97.8</v>
      </c>
      <c r="AK209" s="75">
        <v>275</v>
      </c>
      <c r="AL209" s="76">
        <v>1217.17</v>
      </c>
    </row>
    <row r="210" spans="1:38" ht="13.5">
      <c r="A210" s="32" t="s">
        <v>22</v>
      </c>
      <c r="B210" s="75">
        <v>132</v>
      </c>
      <c r="C210" s="76">
        <v>30.71</v>
      </c>
      <c r="D210" s="75">
        <v>20</v>
      </c>
      <c r="E210" s="76">
        <v>32.4</v>
      </c>
      <c r="F210" s="75">
        <v>4</v>
      </c>
      <c r="G210" s="76">
        <v>18.9</v>
      </c>
      <c r="H210" s="75">
        <v>4</v>
      </c>
      <c r="I210" s="76">
        <v>90</v>
      </c>
      <c r="J210" s="75">
        <v>4</v>
      </c>
      <c r="K210" s="76">
        <v>39.4</v>
      </c>
      <c r="L210" s="75">
        <v>1</v>
      </c>
      <c r="M210" s="76">
        <v>21.5</v>
      </c>
      <c r="N210" s="75">
        <v>5</v>
      </c>
      <c r="O210" s="76">
        <v>26.4</v>
      </c>
      <c r="P210" s="75">
        <v>0</v>
      </c>
      <c r="Q210" s="76">
        <v>0</v>
      </c>
      <c r="R210" s="75">
        <v>170</v>
      </c>
      <c r="S210" s="76">
        <v>259.31</v>
      </c>
      <c r="T210" s="32" t="s">
        <v>22</v>
      </c>
      <c r="U210" s="75">
        <v>125</v>
      </c>
      <c r="V210" s="76">
        <v>25.38</v>
      </c>
      <c r="W210" s="75">
        <v>13</v>
      </c>
      <c r="X210" s="76">
        <v>15.4</v>
      </c>
      <c r="Y210" s="75">
        <v>2</v>
      </c>
      <c r="Z210" s="76">
        <v>10.4</v>
      </c>
      <c r="AA210" s="75">
        <v>4</v>
      </c>
      <c r="AB210" s="76">
        <v>82.9</v>
      </c>
      <c r="AC210" s="75">
        <v>4</v>
      </c>
      <c r="AD210" s="76">
        <v>39.4</v>
      </c>
      <c r="AE210" s="75">
        <v>1</v>
      </c>
      <c r="AF210" s="76">
        <v>2.3</v>
      </c>
      <c r="AG210" s="75">
        <v>5</v>
      </c>
      <c r="AH210" s="76">
        <v>18.6</v>
      </c>
      <c r="AI210" s="75">
        <v>0</v>
      </c>
      <c r="AJ210" s="76">
        <v>0</v>
      </c>
      <c r="AK210" s="75">
        <v>154</v>
      </c>
      <c r="AL210" s="76">
        <v>194.38</v>
      </c>
    </row>
    <row r="211" spans="1:38" ht="13.5">
      <c r="A211" s="32" t="s">
        <v>23</v>
      </c>
      <c r="B211" s="75">
        <v>26</v>
      </c>
      <c r="C211" s="76">
        <v>6.62</v>
      </c>
      <c r="D211" s="75">
        <v>2</v>
      </c>
      <c r="E211" s="76">
        <v>3.8</v>
      </c>
      <c r="F211" s="75">
        <v>3</v>
      </c>
      <c r="G211" s="76">
        <v>12.4</v>
      </c>
      <c r="H211" s="75">
        <v>0</v>
      </c>
      <c r="I211" s="76">
        <v>0</v>
      </c>
      <c r="J211" s="75">
        <v>0</v>
      </c>
      <c r="K211" s="76">
        <v>0</v>
      </c>
      <c r="L211" s="75">
        <v>0</v>
      </c>
      <c r="M211" s="76">
        <v>0</v>
      </c>
      <c r="N211" s="75">
        <v>0</v>
      </c>
      <c r="O211" s="76">
        <v>0</v>
      </c>
      <c r="P211" s="75">
        <v>0</v>
      </c>
      <c r="Q211" s="76">
        <v>0</v>
      </c>
      <c r="R211" s="75">
        <v>31</v>
      </c>
      <c r="S211" s="76">
        <v>22.82</v>
      </c>
      <c r="T211" s="32" t="s">
        <v>23</v>
      </c>
      <c r="U211" s="75">
        <v>26</v>
      </c>
      <c r="V211" s="76">
        <v>6.56</v>
      </c>
      <c r="W211" s="75">
        <v>1</v>
      </c>
      <c r="X211" s="76">
        <v>1.8</v>
      </c>
      <c r="Y211" s="75">
        <v>2</v>
      </c>
      <c r="Z211" s="76">
        <v>7.8</v>
      </c>
      <c r="AA211" s="75">
        <v>0</v>
      </c>
      <c r="AB211" s="76">
        <v>0</v>
      </c>
      <c r="AC211" s="75">
        <v>0</v>
      </c>
      <c r="AD211" s="76">
        <v>0</v>
      </c>
      <c r="AE211" s="75">
        <v>0</v>
      </c>
      <c r="AF211" s="76">
        <v>0</v>
      </c>
      <c r="AG211" s="75">
        <v>0</v>
      </c>
      <c r="AH211" s="76">
        <v>0</v>
      </c>
      <c r="AI211" s="75">
        <v>0</v>
      </c>
      <c r="AJ211" s="76">
        <v>0</v>
      </c>
      <c r="AK211" s="75">
        <v>29</v>
      </c>
      <c r="AL211" s="76">
        <v>16.16</v>
      </c>
    </row>
    <row r="212" spans="1:38" ht="13.5">
      <c r="A212" s="32" t="s">
        <v>24</v>
      </c>
      <c r="B212" s="75">
        <v>33</v>
      </c>
      <c r="C212" s="76">
        <v>9.24</v>
      </c>
      <c r="D212" s="75">
        <v>14</v>
      </c>
      <c r="E212" s="76">
        <v>29.8</v>
      </c>
      <c r="F212" s="75">
        <v>13</v>
      </c>
      <c r="G212" s="76">
        <v>86.7</v>
      </c>
      <c r="H212" s="75">
        <v>23</v>
      </c>
      <c r="I212" s="76">
        <v>1113.2</v>
      </c>
      <c r="J212" s="75">
        <v>6</v>
      </c>
      <c r="K212" s="76">
        <v>163.9</v>
      </c>
      <c r="L212" s="75">
        <v>11</v>
      </c>
      <c r="M212" s="76">
        <v>364.3</v>
      </c>
      <c r="N212" s="75">
        <v>1</v>
      </c>
      <c r="O212" s="76">
        <v>10.2</v>
      </c>
      <c r="P212" s="75">
        <v>2</v>
      </c>
      <c r="Q212" s="76">
        <v>154.8</v>
      </c>
      <c r="R212" s="75">
        <v>103</v>
      </c>
      <c r="S212" s="76">
        <v>1932.14</v>
      </c>
      <c r="T212" s="32" t="s">
        <v>24</v>
      </c>
      <c r="U212" s="75">
        <v>31</v>
      </c>
      <c r="V212" s="76">
        <v>7.53</v>
      </c>
      <c r="W212" s="75">
        <v>10</v>
      </c>
      <c r="X212" s="76">
        <v>17.6</v>
      </c>
      <c r="Y212" s="75">
        <v>12</v>
      </c>
      <c r="Z212" s="76">
        <v>76.7</v>
      </c>
      <c r="AA212" s="75">
        <v>21</v>
      </c>
      <c r="AB212" s="76">
        <v>499.7</v>
      </c>
      <c r="AC212" s="75">
        <v>6</v>
      </c>
      <c r="AD212" s="76">
        <v>126.5</v>
      </c>
      <c r="AE212" s="75">
        <v>9</v>
      </c>
      <c r="AF212" s="76">
        <v>172.2</v>
      </c>
      <c r="AG212" s="75">
        <v>1</v>
      </c>
      <c r="AH212" s="76">
        <v>8.6</v>
      </c>
      <c r="AI212" s="75">
        <v>2</v>
      </c>
      <c r="AJ212" s="76">
        <v>97.8</v>
      </c>
      <c r="AK212" s="75">
        <v>92</v>
      </c>
      <c r="AL212" s="76">
        <v>1006.63</v>
      </c>
    </row>
    <row r="213" spans="1:38" ht="13.5">
      <c r="A213" s="32" t="s">
        <v>63</v>
      </c>
      <c r="B213" s="75">
        <v>192</v>
      </c>
      <c r="C213" s="76">
        <v>39.64</v>
      </c>
      <c r="D213" s="75">
        <v>37</v>
      </c>
      <c r="E213" s="76">
        <v>67.5</v>
      </c>
      <c r="F213" s="75">
        <v>8</v>
      </c>
      <c r="G213" s="76">
        <v>45.5</v>
      </c>
      <c r="H213" s="75">
        <v>7</v>
      </c>
      <c r="I213" s="76">
        <v>270.7</v>
      </c>
      <c r="J213" s="75">
        <v>4</v>
      </c>
      <c r="K213" s="76">
        <v>103.3</v>
      </c>
      <c r="L213" s="75">
        <v>7</v>
      </c>
      <c r="M213" s="76">
        <v>61.3</v>
      </c>
      <c r="N213" s="75">
        <v>1</v>
      </c>
      <c r="O213" s="76">
        <v>10.5</v>
      </c>
      <c r="P213" s="75">
        <v>5</v>
      </c>
      <c r="Q213" s="76">
        <v>656.4</v>
      </c>
      <c r="R213" s="75">
        <v>261</v>
      </c>
      <c r="S213" s="76">
        <v>1254.8400000000001</v>
      </c>
      <c r="T213" s="32" t="s">
        <v>63</v>
      </c>
      <c r="U213" s="75">
        <v>188</v>
      </c>
      <c r="V213" s="76">
        <v>37.74</v>
      </c>
      <c r="W213" s="75">
        <v>30</v>
      </c>
      <c r="X213" s="76">
        <v>44.88999999999999</v>
      </c>
      <c r="Y213" s="75">
        <v>6</v>
      </c>
      <c r="Z213" s="76">
        <v>29.4</v>
      </c>
      <c r="AA213" s="75">
        <v>6</v>
      </c>
      <c r="AB213" s="76">
        <v>166.51000000000002</v>
      </c>
      <c r="AC213" s="75">
        <v>4</v>
      </c>
      <c r="AD213" s="76">
        <v>75.3</v>
      </c>
      <c r="AE213" s="75">
        <v>6</v>
      </c>
      <c r="AF213" s="76">
        <v>57.7</v>
      </c>
      <c r="AG213" s="75">
        <v>1</v>
      </c>
      <c r="AH213" s="76">
        <v>10.3</v>
      </c>
      <c r="AI213" s="75">
        <v>5</v>
      </c>
      <c r="AJ213" s="76">
        <v>165.6</v>
      </c>
      <c r="AK213" s="75">
        <v>246</v>
      </c>
      <c r="AL213" s="76">
        <v>587.44</v>
      </c>
    </row>
    <row r="214" spans="1:38" ht="13.5">
      <c r="A214" s="32" t="s">
        <v>22</v>
      </c>
      <c r="B214" s="75">
        <v>124</v>
      </c>
      <c r="C214" s="76">
        <v>26.26</v>
      </c>
      <c r="D214" s="75">
        <v>18</v>
      </c>
      <c r="E214" s="76">
        <v>32</v>
      </c>
      <c r="F214" s="75">
        <v>1</v>
      </c>
      <c r="G214" s="76">
        <v>4.4</v>
      </c>
      <c r="H214" s="75">
        <v>0</v>
      </c>
      <c r="I214" s="76">
        <v>0</v>
      </c>
      <c r="J214" s="75">
        <v>0</v>
      </c>
      <c r="K214" s="76">
        <v>0</v>
      </c>
      <c r="L214" s="75">
        <v>3</v>
      </c>
      <c r="M214" s="76">
        <v>29.6</v>
      </c>
      <c r="N214" s="75">
        <v>1</v>
      </c>
      <c r="O214" s="76">
        <v>10.5</v>
      </c>
      <c r="P214" s="75">
        <v>0</v>
      </c>
      <c r="Q214" s="76">
        <v>0</v>
      </c>
      <c r="R214" s="75">
        <v>147</v>
      </c>
      <c r="S214" s="76">
        <v>102.76</v>
      </c>
      <c r="T214" s="32" t="s">
        <v>22</v>
      </c>
      <c r="U214" s="75">
        <v>122</v>
      </c>
      <c r="V214" s="76">
        <v>24.52</v>
      </c>
      <c r="W214" s="75">
        <v>15</v>
      </c>
      <c r="X214" s="76">
        <v>18.04</v>
      </c>
      <c r="Y214" s="75">
        <v>1</v>
      </c>
      <c r="Z214" s="76">
        <v>4.4</v>
      </c>
      <c r="AA214" s="75">
        <v>0</v>
      </c>
      <c r="AB214" s="76">
        <v>0</v>
      </c>
      <c r="AC214" s="75">
        <v>0</v>
      </c>
      <c r="AD214" s="76">
        <v>0</v>
      </c>
      <c r="AE214" s="75">
        <v>3</v>
      </c>
      <c r="AF214" s="76">
        <v>26.4</v>
      </c>
      <c r="AG214" s="75">
        <v>1</v>
      </c>
      <c r="AH214" s="76">
        <v>10.3</v>
      </c>
      <c r="AI214" s="75">
        <v>0</v>
      </c>
      <c r="AJ214" s="76">
        <v>0</v>
      </c>
      <c r="AK214" s="75">
        <v>142</v>
      </c>
      <c r="AL214" s="76">
        <v>83.66</v>
      </c>
    </row>
    <row r="215" spans="1:38" ht="13.5">
      <c r="A215" s="32" t="s">
        <v>23</v>
      </c>
      <c r="B215" s="75">
        <v>24</v>
      </c>
      <c r="C215" s="76">
        <v>4.63</v>
      </c>
      <c r="D215" s="75">
        <v>10</v>
      </c>
      <c r="E215" s="76">
        <v>20.7</v>
      </c>
      <c r="F215" s="75">
        <v>1</v>
      </c>
      <c r="G215" s="76">
        <v>4.9</v>
      </c>
      <c r="H215" s="75">
        <v>1</v>
      </c>
      <c r="I215" s="76">
        <v>38.7</v>
      </c>
      <c r="J215" s="75">
        <v>0</v>
      </c>
      <c r="K215" s="76">
        <v>0</v>
      </c>
      <c r="L215" s="75">
        <v>1</v>
      </c>
      <c r="M215" s="76">
        <v>10</v>
      </c>
      <c r="N215" s="75">
        <v>0</v>
      </c>
      <c r="O215" s="76">
        <v>0</v>
      </c>
      <c r="P215" s="75">
        <v>0</v>
      </c>
      <c r="Q215" s="76">
        <v>0</v>
      </c>
      <c r="R215" s="75">
        <v>37</v>
      </c>
      <c r="S215" s="76">
        <v>78.93</v>
      </c>
      <c r="T215" s="32" t="s">
        <v>23</v>
      </c>
      <c r="U215" s="75">
        <v>23</v>
      </c>
      <c r="V215" s="76">
        <v>4.55</v>
      </c>
      <c r="W215" s="75">
        <v>9</v>
      </c>
      <c r="X215" s="76">
        <v>16.45</v>
      </c>
      <c r="Y215" s="75">
        <v>1</v>
      </c>
      <c r="Z215" s="76">
        <v>4</v>
      </c>
      <c r="AA215" s="75">
        <v>1</v>
      </c>
      <c r="AB215" s="76">
        <v>31.65</v>
      </c>
      <c r="AC215" s="75">
        <v>0</v>
      </c>
      <c r="AD215" s="76">
        <v>0</v>
      </c>
      <c r="AE215" s="75">
        <v>1</v>
      </c>
      <c r="AF215" s="76">
        <v>10</v>
      </c>
      <c r="AG215" s="75">
        <v>0</v>
      </c>
      <c r="AH215" s="76">
        <v>0</v>
      </c>
      <c r="AI215" s="75">
        <v>0</v>
      </c>
      <c r="AJ215" s="76">
        <v>0</v>
      </c>
      <c r="AK215" s="75">
        <v>35</v>
      </c>
      <c r="AL215" s="76">
        <v>66.65</v>
      </c>
    </row>
    <row r="216" spans="1:38" ht="13.5">
      <c r="A216" s="32" t="s">
        <v>24</v>
      </c>
      <c r="B216" s="75">
        <v>44</v>
      </c>
      <c r="C216" s="76">
        <v>8.75</v>
      </c>
      <c r="D216" s="75">
        <v>9</v>
      </c>
      <c r="E216" s="76">
        <v>14.8</v>
      </c>
      <c r="F216" s="75">
        <v>6</v>
      </c>
      <c r="G216" s="76">
        <v>36.2</v>
      </c>
      <c r="H216" s="75">
        <v>6</v>
      </c>
      <c r="I216" s="76">
        <v>232</v>
      </c>
      <c r="J216" s="75">
        <v>4</v>
      </c>
      <c r="K216" s="76">
        <v>103.3</v>
      </c>
      <c r="L216" s="75">
        <v>3</v>
      </c>
      <c r="M216" s="76">
        <v>21.7</v>
      </c>
      <c r="N216" s="75">
        <v>0</v>
      </c>
      <c r="O216" s="76">
        <v>0</v>
      </c>
      <c r="P216" s="75">
        <v>5</v>
      </c>
      <c r="Q216" s="76">
        <v>656.4</v>
      </c>
      <c r="R216" s="75">
        <v>77</v>
      </c>
      <c r="S216" s="76">
        <v>1073.15</v>
      </c>
      <c r="T216" s="32" t="s">
        <v>24</v>
      </c>
      <c r="U216" s="75">
        <v>43</v>
      </c>
      <c r="V216" s="76">
        <v>8.67</v>
      </c>
      <c r="W216" s="75">
        <v>6</v>
      </c>
      <c r="X216" s="76">
        <v>10.4</v>
      </c>
      <c r="Y216" s="75">
        <v>4</v>
      </c>
      <c r="Z216" s="76">
        <v>21</v>
      </c>
      <c r="AA216" s="75">
        <v>5</v>
      </c>
      <c r="AB216" s="76">
        <v>134.86</v>
      </c>
      <c r="AC216" s="75">
        <v>4</v>
      </c>
      <c r="AD216" s="76">
        <v>75.3</v>
      </c>
      <c r="AE216" s="75">
        <v>2</v>
      </c>
      <c r="AF216" s="76">
        <v>21.3</v>
      </c>
      <c r="AG216" s="75">
        <v>0</v>
      </c>
      <c r="AH216" s="76">
        <v>0</v>
      </c>
      <c r="AI216" s="75">
        <v>5</v>
      </c>
      <c r="AJ216" s="76">
        <v>165.6</v>
      </c>
      <c r="AK216" s="75">
        <v>69</v>
      </c>
      <c r="AL216" s="76">
        <v>437.13</v>
      </c>
    </row>
    <row r="217" spans="1:38" ht="13.5">
      <c r="A217" s="32"/>
      <c r="B217" s="19"/>
      <c r="C217" s="20"/>
      <c r="D217" s="19"/>
      <c r="E217" s="20"/>
      <c r="F217" s="19"/>
      <c r="G217" s="20"/>
      <c r="H217" s="19"/>
      <c r="I217" s="20"/>
      <c r="J217" s="19"/>
      <c r="K217" s="20"/>
      <c r="L217" s="19"/>
      <c r="M217" s="20"/>
      <c r="N217" s="19"/>
      <c r="O217" s="20"/>
      <c r="P217" s="19"/>
      <c r="Q217" s="20"/>
      <c r="R217" s="19"/>
      <c r="S217" s="20"/>
      <c r="T217" s="32"/>
      <c r="U217" s="19"/>
      <c r="V217" s="20"/>
      <c r="W217" s="19"/>
      <c r="X217" s="20"/>
      <c r="Y217" s="19"/>
      <c r="Z217" s="20"/>
      <c r="AA217" s="19"/>
      <c r="AB217" s="20"/>
      <c r="AC217" s="19"/>
      <c r="AD217" s="20"/>
      <c r="AE217" s="19"/>
      <c r="AF217" s="20"/>
      <c r="AG217" s="19"/>
      <c r="AH217" s="20"/>
      <c r="AI217" s="19"/>
      <c r="AJ217" s="20"/>
      <c r="AK217" s="19"/>
      <c r="AL217" s="20"/>
    </row>
    <row r="218" spans="1:38" ht="13.5">
      <c r="A218" s="32" t="s">
        <v>64</v>
      </c>
      <c r="B218" s="75">
        <v>1800</v>
      </c>
      <c r="C218" s="76">
        <v>408.9</v>
      </c>
      <c r="D218" s="75">
        <v>237</v>
      </c>
      <c r="E218" s="76">
        <v>464.09999999999997</v>
      </c>
      <c r="F218" s="75">
        <v>32</v>
      </c>
      <c r="G218" s="76">
        <v>173.5</v>
      </c>
      <c r="H218" s="75">
        <v>42</v>
      </c>
      <c r="I218" s="76">
        <v>1073.9</v>
      </c>
      <c r="J218" s="75">
        <v>16</v>
      </c>
      <c r="K218" s="76">
        <v>312</v>
      </c>
      <c r="L218" s="75">
        <v>21</v>
      </c>
      <c r="M218" s="76">
        <v>611.7</v>
      </c>
      <c r="N218" s="75">
        <v>9</v>
      </c>
      <c r="O218" s="76">
        <v>51.4</v>
      </c>
      <c r="P218" s="75">
        <v>7</v>
      </c>
      <c r="Q218" s="76">
        <v>1105.5</v>
      </c>
      <c r="R218" s="75">
        <v>2164</v>
      </c>
      <c r="S218" s="76">
        <v>4201</v>
      </c>
      <c r="T218" s="32" t="s">
        <v>64</v>
      </c>
      <c r="U218" s="75">
        <v>1744</v>
      </c>
      <c r="V218" s="76">
        <v>383.79</v>
      </c>
      <c r="W218" s="75">
        <v>220</v>
      </c>
      <c r="X218" s="76">
        <v>407.09999999999997</v>
      </c>
      <c r="Y218" s="75">
        <v>31</v>
      </c>
      <c r="Z218" s="76">
        <v>147.5</v>
      </c>
      <c r="AA218" s="75">
        <v>40</v>
      </c>
      <c r="AB218" s="76">
        <v>900.4</v>
      </c>
      <c r="AC218" s="75">
        <v>14</v>
      </c>
      <c r="AD218" s="76">
        <v>236.5</v>
      </c>
      <c r="AE218" s="75">
        <v>21</v>
      </c>
      <c r="AF218" s="76">
        <v>381.9</v>
      </c>
      <c r="AG218" s="75">
        <v>6</v>
      </c>
      <c r="AH218" s="76">
        <v>24.8</v>
      </c>
      <c r="AI218" s="75">
        <v>7</v>
      </c>
      <c r="AJ218" s="76">
        <v>513.9</v>
      </c>
      <c r="AK218" s="75">
        <v>2083</v>
      </c>
      <c r="AL218" s="76">
        <v>2995.89</v>
      </c>
    </row>
    <row r="219" spans="1:38" ht="13.5">
      <c r="A219" s="32" t="s">
        <v>22</v>
      </c>
      <c r="B219" s="75">
        <v>1442</v>
      </c>
      <c r="C219" s="76">
        <v>314.19</v>
      </c>
      <c r="D219" s="75">
        <v>153</v>
      </c>
      <c r="E219" s="76">
        <v>290.7</v>
      </c>
      <c r="F219" s="75">
        <v>12</v>
      </c>
      <c r="G219" s="76">
        <v>61.8</v>
      </c>
      <c r="H219" s="75">
        <v>19</v>
      </c>
      <c r="I219" s="76">
        <v>460.9</v>
      </c>
      <c r="J219" s="75">
        <v>5</v>
      </c>
      <c r="K219" s="76">
        <v>87.6</v>
      </c>
      <c r="L219" s="75">
        <v>7</v>
      </c>
      <c r="M219" s="76">
        <v>197.7</v>
      </c>
      <c r="N219" s="75">
        <v>4</v>
      </c>
      <c r="O219" s="76">
        <v>25.7</v>
      </c>
      <c r="P219" s="75">
        <v>0</v>
      </c>
      <c r="Q219" s="76">
        <v>0</v>
      </c>
      <c r="R219" s="75">
        <v>1642</v>
      </c>
      <c r="S219" s="76">
        <v>1438.59</v>
      </c>
      <c r="T219" s="32" t="s">
        <v>22</v>
      </c>
      <c r="U219" s="75">
        <v>1398</v>
      </c>
      <c r="V219" s="76">
        <v>291.99</v>
      </c>
      <c r="W219" s="75">
        <v>145</v>
      </c>
      <c r="X219" s="76">
        <v>256.9</v>
      </c>
      <c r="Y219" s="75">
        <v>12</v>
      </c>
      <c r="Z219" s="76">
        <v>55.6</v>
      </c>
      <c r="AA219" s="75">
        <v>18</v>
      </c>
      <c r="AB219" s="76">
        <v>387</v>
      </c>
      <c r="AC219" s="75">
        <v>5</v>
      </c>
      <c r="AD219" s="76">
        <v>71.6</v>
      </c>
      <c r="AE219" s="75">
        <v>7</v>
      </c>
      <c r="AF219" s="76">
        <v>101.7</v>
      </c>
      <c r="AG219" s="75">
        <v>2</v>
      </c>
      <c r="AH219" s="76">
        <v>3.3</v>
      </c>
      <c r="AI219" s="75">
        <v>0</v>
      </c>
      <c r="AJ219" s="76">
        <v>0</v>
      </c>
      <c r="AK219" s="75">
        <v>1587</v>
      </c>
      <c r="AL219" s="76">
        <v>1168.09</v>
      </c>
    </row>
    <row r="220" spans="1:38" ht="13.5">
      <c r="A220" s="32" t="s">
        <v>23</v>
      </c>
      <c r="B220" s="75">
        <v>277</v>
      </c>
      <c r="C220" s="76">
        <v>66.47</v>
      </c>
      <c r="D220" s="75">
        <v>60</v>
      </c>
      <c r="E220" s="76">
        <v>122</v>
      </c>
      <c r="F220" s="75">
        <v>10</v>
      </c>
      <c r="G220" s="76">
        <v>55</v>
      </c>
      <c r="H220" s="75">
        <v>9</v>
      </c>
      <c r="I220" s="76">
        <v>160.9</v>
      </c>
      <c r="J220" s="75">
        <v>5</v>
      </c>
      <c r="K220" s="76">
        <v>100.8</v>
      </c>
      <c r="L220" s="75">
        <v>2</v>
      </c>
      <c r="M220" s="76">
        <v>35.5</v>
      </c>
      <c r="N220" s="75">
        <v>0</v>
      </c>
      <c r="O220" s="76">
        <v>0</v>
      </c>
      <c r="P220" s="75">
        <v>1</v>
      </c>
      <c r="Q220" s="76">
        <v>2.5</v>
      </c>
      <c r="R220" s="75">
        <v>364</v>
      </c>
      <c r="S220" s="76">
        <v>543.17</v>
      </c>
      <c r="T220" s="32" t="s">
        <v>23</v>
      </c>
      <c r="U220" s="75">
        <v>270</v>
      </c>
      <c r="V220" s="76">
        <v>64.68</v>
      </c>
      <c r="W220" s="75">
        <v>52</v>
      </c>
      <c r="X220" s="76">
        <v>99.9</v>
      </c>
      <c r="Y220" s="75">
        <v>10</v>
      </c>
      <c r="Z220" s="76">
        <v>46.8</v>
      </c>
      <c r="AA220" s="75">
        <v>8</v>
      </c>
      <c r="AB220" s="76">
        <v>134.8</v>
      </c>
      <c r="AC220" s="75">
        <v>5</v>
      </c>
      <c r="AD220" s="76">
        <v>97.1</v>
      </c>
      <c r="AE220" s="75">
        <v>2</v>
      </c>
      <c r="AF220" s="76">
        <v>21.8</v>
      </c>
      <c r="AG220" s="75">
        <v>0</v>
      </c>
      <c r="AH220" s="76">
        <v>0</v>
      </c>
      <c r="AI220" s="75">
        <v>1</v>
      </c>
      <c r="AJ220" s="76">
        <v>2.5</v>
      </c>
      <c r="AK220" s="75">
        <v>348</v>
      </c>
      <c r="AL220" s="76">
        <v>467.58</v>
      </c>
    </row>
    <row r="221" spans="1:38" ht="13.5">
      <c r="A221" s="32" t="s">
        <v>24</v>
      </c>
      <c r="B221" s="75">
        <v>81</v>
      </c>
      <c r="C221" s="76">
        <v>28.24</v>
      </c>
      <c r="D221" s="75">
        <v>24</v>
      </c>
      <c r="E221" s="76">
        <v>51.4</v>
      </c>
      <c r="F221" s="75">
        <v>10</v>
      </c>
      <c r="G221" s="76">
        <v>56.7</v>
      </c>
      <c r="H221" s="75">
        <v>14</v>
      </c>
      <c r="I221" s="76">
        <v>452.1</v>
      </c>
      <c r="J221" s="75">
        <v>6</v>
      </c>
      <c r="K221" s="76">
        <v>123.6</v>
      </c>
      <c r="L221" s="75">
        <v>12</v>
      </c>
      <c r="M221" s="76">
        <v>378.5</v>
      </c>
      <c r="N221" s="75">
        <v>5</v>
      </c>
      <c r="O221" s="76">
        <v>25.7</v>
      </c>
      <c r="P221" s="75">
        <v>6</v>
      </c>
      <c r="Q221" s="76">
        <v>1103</v>
      </c>
      <c r="R221" s="75">
        <v>158</v>
      </c>
      <c r="S221" s="76">
        <v>2219.24</v>
      </c>
      <c r="T221" s="32" t="s">
        <v>24</v>
      </c>
      <c r="U221" s="75">
        <v>76</v>
      </c>
      <c r="V221" s="76">
        <v>27.12</v>
      </c>
      <c r="W221" s="75">
        <v>23</v>
      </c>
      <c r="X221" s="76">
        <v>50.3</v>
      </c>
      <c r="Y221" s="75">
        <v>9</v>
      </c>
      <c r="Z221" s="76">
        <v>45.1</v>
      </c>
      <c r="AA221" s="75">
        <v>14</v>
      </c>
      <c r="AB221" s="76">
        <v>378.6</v>
      </c>
      <c r="AC221" s="75">
        <v>4</v>
      </c>
      <c r="AD221" s="76">
        <v>67.8</v>
      </c>
      <c r="AE221" s="75">
        <v>12</v>
      </c>
      <c r="AF221" s="76">
        <v>258.4</v>
      </c>
      <c r="AG221" s="75">
        <v>4</v>
      </c>
      <c r="AH221" s="76">
        <v>21.5</v>
      </c>
      <c r="AI221" s="75">
        <v>6</v>
      </c>
      <c r="AJ221" s="76">
        <v>511.4</v>
      </c>
      <c r="AK221" s="75">
        <v>148</v>
      </c>
      <c r="AL221" s="76">
        <v>1360.22</v>
      </c>
    </row>
    <row r="222" spans="1:38" ht="13.5" collapsed="1">
      <c r="A222" s="32" t="s">
        <v>65</v>
      </c>
      <c r="B222" s="75">
        <v>101</v>
      </c>
      <c r="C222" s="76">
        <v>24.11</v>
      </c>
      <c r="D222" s="75">
        <v>27</v>
      </c>
      <c r="E222" s="76">
        <v>58.4</v>
      </c>
      <c r="F222" s="75">
        <v>15</v>
      </c>
      <c r="G222" s="76">
        <v>89.9</v>
      </c>
      <c r="H222" s="75">
        <v>11</v>
      </c>
      <c r="I222" s="76">
        <v>331.8</v>
      </c>
      <c r="J222" s="75">
        <v>5</v>
      </c>
      <c r="K222" s="76">
        <v>115.80000000000001</v>
      </c>
      <c r="L222" s="75">
        <v>6</v>
      </c>
      <c r="M222" s="76">
        <v>95.4</v>
      </c>
      <c r="N222" s="75">
        <v>1</v>
      </c>
      <c r="O222" s="76">
        <v>0.4</v>
      </c>
      <c r="P222" s="75">
        <v>2</v>
      </c>
      <c r="Q222" s="76">
        <v>169.7</v>
      </c>
      <c r="R222" s="75">
        <v>168</v>
      </c>
      <c r="S222" s="76">
        <v>885.51</v>
      </c>
      <c r="T222" s="32" t="s">
        <v>65</v>
      </c>
      <c r="U222" s="75">
        <v>98</v>
      </c>
      <c r="V222" s="76">
        <v>23.310000000000002</v>
      </c>
      <c r="W222" s="75">
        <v>26</v>
      </c>
      <c r="X222" s="76">
        <v>49.8</v>
      </c>
      <c r="Y222" s="75">
        <v>15</v>
      </c>
      <c r="Z222" s="76">
        <v>88.8</v>
      </c>
      <c r="AA222" s="75">
        <v>11</v>
      </c>
      <c r="AB222" s="76">
        <v>235.6</v>
      </c>
      <c r="AC222" s="75">
        <v>5</v>
      </c>
      <c r="AD222" s="76">
        <v>111.69999999999999</v>
      </c>
      <c r="AE222" s="75">
        <v>5</v>
      </c>
      <c r="AF222" s="76">
        <v>52.400000000000006</v>
      </c>
      <c r="AG222" s="75">
        <v>1</v>
      </c>
      <c r="AH222" s="76">
        <v>0.4</v>
      </c>
      <c r="AI222" s="75">
        <v>2</v>
      </c>
      <c r="AJ222" s="76">
        <v>115.3</v>
      </c>
      <c r="AK222" s="75">
        <v>163</v>
      </c>
      <c r="AL222" s="76">
        <v>677.31</v>
      </c>
    </row>
    <row r="223" spans="1:38" ht="13.5">
      <c r="A223" s="32" t="s">
        <v>22</v>
      </c>
      <c r="B223" s="75">
        <v>63</v>
      </c>
      <c r="C223" s="76">
        <v>14.12</v>
      </c>
      <c r="D223" s="75">
        <v>7</v>
      </c>
      <c r="E223" s="76">
        <v>12.3</v>
      </c>
      <c r="F223" s="75">
        <v>2</v>
      </c>
      <c r="G223" s="76">
        <v>7.7</v>
      </c>
      <c r="H223" s="75">
        <v>3</v>
      </c>
      <c r="I223" s="76">
        <v>69.8</v>
      </c>
      <c r="J223" s="75">
        <v>1</v>
      </c>
      <c r="K223" s="76">
        <v>13.4</v>
      </c>
      <c r="L223" s="75">
        <v>2</v>
      </c>
      <c r="M223" s="76">
        <v>26.4</v>
      </c>
      <c r="N223" s="75">
        <v>1</v>
      </c>
      <c r="O223" s="76">
        <v>0.4</v>
      </c>
      <c r="P223" s="75">
        <v>0</v>
      </c>
      <c r="Q223" s="76">
        <v>0</v>
      </c>
      <c r="R223" s="75">
        <v>79</v>
      </c>
      <c r="S223" s="76">
        <v>144.12</v>
      </c>
      <c r="T223" s="32" t="s">
        <v>22</v>
      </c>
      <c r="U223" s="75">
        <v>61</v>
      </c>
      <c r="V223" s="76">
        <v>13.39</v>
      </c>
      <c r="W223" s="75">
        <v>7</v>
      </c>
      <c r="X223" s="76">
        <v>9.6</v>
      </c>
      <c r="Y223" s="75">
        <v>2</v>
      </c>
      <c r="Z223" s="76">
        <v>7.5</v>
      </c>
      <c r="AA223" s="75">
        <v>3</v>
      </c>
      <c r="AB223" s="76">
        <v>65.2</v>
      </c>
      <c r="AC223" s="75">
        <v>1</v>
      </c>
      <c r="AD223" s="76">
        <v>11.1</v>
      </c>
      <c r="AE223" s="75">
        <v>2</v>
      </c>
      <c r="AF223" s="76">
        <v>9.2</v>
      </c>
      <c r="AG223" s="75">
        <v>1</v>
      </c>
      <c r="AH223" s="76">
        <v>0.4</v>
      </c>
      <c r="AI223" s="75">
        <v>0</v>
      </c>
      <c r="AJ223" s="76">
        <v>0</v>
      </c>
      <c r="AK223" s="75">
        <v>77</v>
      </c>
      <c r="AL223" s="76">
        <v>116.39</v>
      </c>
    </row>
    <row r="224" spans="1:38" ht="13.5">
      <c r="A224" s="32" t="s">
        <v>23</v>
      </c>
      <c r="B224" s="75">
        <v>34</v>
      </c>
      <c r="C224" s="76">
        <v>8.53</v>
      </c>
      <c r="D224" s="75">
        <v>11</v>
      </c>
      <c r="E224" s="76">
        <v>22.2</v>
      </c>
      <c r="F224" s="75">
        <v>2</v>
      </c>
      <c r="G224" s="76">
        <v>13.8</v>
      </c>
      <c r="H224" s="75">
        <v>3</v>
      </c>
      <c r="I224" s="76">
        <v>59.7</v>
      </c>
      <c r="J224" s="75">
        <v>3</v>
      </c>
      <c r="K224" s="76">
        <v>60</v>
      </c>
      <c r="L224" s="75">
        <v>0</v>
      </c>
      <c r="M224" s="76">
        <v>0</v>
      </c>
      <c r="N224" s="75">
        <v>0</v>
      </c>
      <c r="O224" s="76">
        <v>0</v>
      </c>
      <c r="P224" s="75">
        <v>0</v>
      </c>
      <c r="Q224" s="76">
        <v>0</v>
      </c>
      <c r="R224" s="75">
        <v>53</v>
      </c>
      <c r="S224" s="76">
        <v>164.23</v>
      </c>
      <c r="T224" s="32" t="s">
        <v>23</v>
      </c>
      <c r="U224" s="75">
        <v>33</v>
      </c>
      <c r="V224" s="76">
        <v>8.46</v>
      </c>
      <c r="W224" s="75">
        <v>10</v>
      </c>
      <c r="X224" s="76">
        <v>18.7</v>
      </c>
      <c r="Y224" s="75">
        <v>2</v>
      </c>
      <c r="Z224" s="76">
        <v>13.8</v>
      </c>
      <c r="AA224" s="75">
        <v>3</v>
      </c>
      <c r="AB224" s="76">
        <v>41.9</v>
      </c>
      <c r="AC224" s="75">
        <v>3</v>
      </c>
      <c r="AD224" s="76">
        <v>60</v>
      </c>
      <c r="AE224" s="75">
        <v>0</v>
      </c>
      <c r="AF224" s="76">
        <v>0</v>
      </c>
      <c r="AG224" s="75">
        <v>0</v>
      </c>
      <c r="AH224" s="76">
        <v>0</v>
      </c>
      <c r="AI224" s="75">
        <v>0</v>
      </c>
      <c r="AJ224" s="76">
        <v>0</v>
      </c>
      <c r="AK224" s="75">
        <v>51</v>
      </c>
      <c r="AL224" s="76">
        <v>142.86</v>
      </c>
    </row>
    <row r="225" spans="1:38" ht="13.5">
      <c r="A225" s="32" t="s">
        <v>24</v>
      </c>
      <c r="B225" s="75">
        <v>4</v>
      </c>
      <c r="C225" s="76">
        <v>1.46</v>
      </c>
      <c r="D225" s="75">
        <v>9</v>
      </c>
      <c r="E225" s="76">
        <v>23.9</v>
      </c>
      <c r="F225" s="75">
        <v>11</v>
      </c>
      <c r="G225" s="76">
        <v>68.4</v>
      </c>
      <c r="H225" s="75">
        <v>5</v>
      </c>
      <c r="I225" s="76">
        <v>202.3</v>
      </c>
      <c r="J225" s="75">
        <v>1</v>
      </c>
      <c r="K225" s="76">
        <v>42.4</v>
      </c>
      <c r="L225" s="75">
        <v>4</v>
      </c>
      <c r="M225" s="76">
        <v>69</v>
      </c>
      <c r="N225" s="75">
        <v>0</v>
      </c>
      <c r="O225" s="76">
        <v>0</v>
      </c>
      <c r="P225" s="75">
        <v>2</v>
      </c>
      <c r="Q225" s="76">
        <v>169.7</v>
      </c>
      <c r="R225" s="75">
        <v>36</v>
      </c>
      <c r="S225" s="76">
        <v>577.16</v>
      </c>
      <c r="T225" s="32" t="s">
        <v>24</v>
      </c>
      <c r="U225" s="75">
        <v>4</v>
      </c>
      <c r="V225" s="76">
        <v>1.46</v>
      </c>
      <c r="W225" s="75">
        <v>9</v>
      </c>
      <c r="X225" s="76">
        <v>21.5</v>
      </c>
      <c r="Y225" s="75">
        <v>11</v>
      </c>
      <c r="Z225" s="76">
        <v>67.5</v>
      </c>
      <c r="AA225" s="75">
        <v>5</v>
      </c>
      <c r="AB225" s="76">
        <v>128.5</v>
      </c>
      <c r="AC225" s="75">
        <v>1</v>
      </c>
      <c r="AD225" s="76">
        <v>40.6</v>
      </c>
      <c r="AE225" s="75">
        <v>3</v>
      </c>
      <c r="AF225" s="76">
        <v>43.2</v>
      </c>
      <c r="AG225" s="75">
        <v>0</v>
      </c>
      <c r="AH225" s="76">
        <v>0</v>
      </c>
      <c r="AI225" s="75">
        <v>2</v>
      </c>
      <c r="AJ225" s="76">
        <v>115.3</v>
      </c>
      <c r="AK225" s="75">
        <v>35</v>
      </c>
      <c r="AL225" s="76">
        <v>418.06</v>
      </c>
    </row>
    <row r="226" spans="1:38" ht="13.5">
      <c r="A226" s="32" t="s">
        <v>66</v>
      </c>
      <c r="B226" s="75">
        <v>462</v>
      </c>
      <c r="C226" s="76">
        <v>95.94</v>
      </c>
      <c r="D226" s="75">
        <v>55</v>
      </c>
      <c r="E226" s="76">
        <v>139.5</v>
      </c>
      <c r="F226" s="75">
        <v>20</v>
      </c>
      <c r="G226" s="76">
        <v>136</v>
      </c>
      <c r="H226" s="75">
        <v>22</v>
      </c>
      <c r="I226" s="76">
        <v>1142.6</v>
      </c>
      <c r="J226" s="75">
        <v>5</v>
      </c>
      <c r="K226" s="76">
        <v>133.9</v>
      </c>
      <c r="L226" s="75">
        <v>10</v>
      </c>
      <c r="M226" s="76">
        <v>310.5</v>
      </c>
      <c r="N226" s="75">
        <v>3</v>
      </c>
      <c r="O226" s="76">
        <v>18</v>
      </c>
      <c r="P226" s="75">
        <v>1</v>
      </c>
      <c r="Q226" s="76">
        <v>48.4</v>
      </c>
      <c r="R226" s="75">
        <v>578</v>
      </c>
      <c r="S226" s="76">
        <v>2024.8400000000001</v>
      </c>
      <c r="T226" s="32" t="s">
        <v>66</v>
      </c>
      <c r="U226" s="75">
        <v>451</v>
      </c>
      <c r="V226" s="76">
        <v>94.08</v>
      </c>
      <c r="W226" s="75">
        <v>53</v>
      </c>
      <c r="X226" s="76">
        <v>101.3</v>
      </c>
      <c r="Y226" s="75">
        <v>20</v>
      </c>
      <c r="Z226" s="76">
        <v>125</v>
      </c>
      <c r="AA226" s="75">
        <v>22</v>
      </c>
      <c r="AB226" s="76">
        <v>507.4</v>
      </c>
      <c r="AC226" s="75">
        <v>3</v>
      </c>
      <c r="AD226" s="76">
        <v>73.4</v>
      </c>
      <c r="AE226" s="75">
        <v>9</v>
      </c>
      <c r="AF226" s="76">
        <v>181</v>
      </c>
      <c r="AG226" s="75">
        <v>3</v>
      </c>
      <c r="AH226" s="76">
        <v>17.3</v>
      </c>
      <c r="AI226" s="75">
        <v>1</v>
      </c>
      <c r="AJ226" s="76">
        <v>36.9</v>
      </c>
      <c r="AK226" s="75">
        <v>562</v>
      </c>
      <c r="AL226" s="76">
        <v>1136.38</v>
      </c>
    </row>
    <row r="227" spans="1:38" ht="13.5">
      <c r="A227" s="32" t="s">
        <v>22</v>
      </c>
      <c r="B227" s="75">
        <v>306</v>
      </c>
      <c r="C227" s="76">
        <v>61.87</v>
      </c>
      <c r="D227" s="75">
        <v>21</v>
      </c>
      <c r="E227" s="76">
        <v>35</v>
      </c>
      <c r="F227" s="75">
        <v>5</v>
      </c>
      <c r="G227" s="76">
        <v>33.4</v>
      </c>
      <c r="H227" s="75">
        <v>4</v>
      </c>
      <c r="I227" s="76">
        <v>76.8</v>
      </c>
      <c r="J227" s="75">
        <v>1</v>
      </c>
      <c r="K227" s="76">
        <v>17.8</v>
      </c>
      <c r="L227" s="75">
        <v>1</v>
      </c>
      <c r="M227" s="76">
        <v>4.2</v>
      </c>
      <c r="N227" s="75">
        <v>2</v>
      </c>
      <c r="O227" s="76">
        <v>14.3</v>
      </c>
      <c r="P227" s="75">
        <v>0</v>
      </c>
      <c r="Q227" s="76">
        <v>0</v>
      </c>
      <c r="R227" s="75">
        <v>340</v>
      </c>
      <c r="S227" s="76">
        <v>243.37</v>
      </c>
      <c r="T227" s="32" t="s">
        <v>22</v>
      </c>
      <c r="U227" s="75">
        <v>298</v>
      </c>
      <c r="V227" s="76">
        <v>60.49</v>
      </c>
      <c r="W227" s="75">
        <v>21</v>
      </c>
      <c r="X227" s="76">
        <v>32</v>
      </c>
      <c r="Y227" s="75">
        <v>5</v>
      </c>
      <c r="Z227" s="76">
        <v>33.1</v>
      </c>
      <c r="AA227" s="75">
        <v>4</v>
      </c>
      <c r="AB227" s="76">
        <v>73.4</v>
      </c>
      <c r="AC227" s="75">
        <v>1</v>
      </c>
      <c r="AD227" s="76">
        <v>17.8</v>
      </c>
      <c r="AE227" s="75">
        <v>1</v>
      </c>
      <c r="AF227" s="76">
        <v>2.9</v>
      </c>
      <c r="AG227" s="75">
        <v>2</v>
      </c>
      <c r="AH227" s="76">
        <v>13.6</v>
      </c>
      <c r="AI227" s="75">
        <v>0</v>
      </c>
      <c r="AJ227" s="76">
        <v>0</v>
      </c>
      <c r="AK227" s="75">
        <v>332</v>
      </c>
      <c r="AL227" s="76">
        <v>233.29</v>
      </c>
    </row>
    <row r="228" spans="1:38" ht="13.5">
      <c r="A228" s="32" t="s">
        <v>23</v>
      </c>
      <c r="B228" s="75">
        <v>108</v>
      </c>
      <c r="C228" s="76">
        <v>20.13</v>
      </c>
      <c r="D228" s="75">
        <v>12</v>
      </c>
      <c r="E228" s="76">
        <v>29.3</v>
      </c>
      <c r="F228" s="75">
        <v>2</v>
      </c>
      <c r="G228" s="76">
        <v>13.8</v>
      </c>
      <c r="H228" s="75">
        <v>5</v>
      </c>
      <c r="I228" s="76">
        <v>188.3</v>
      </c>
      <c r="J228" s="75">
        <v>3</v>
      </c>
      <c r="K228" s="76">
        <v>53.6</v>
      </c>
      <c r="L228" s="75">
        <v>0</v>
      </c>
      <c r="M228" s="76">
        <v>0</v>
      </c>
      <c r="N228" s="75">
        <v>1</v>
      </c>
      <c r="O228" s="76">
        <v>3.7</v>
      </c>
      <c r="P228" s="75">
        <v>0</v>
      </c>
      <c r="Q228" s="76">
        <v>0</v>
      </c>
      <c r="R228" s="75">
        <v>131</v>
      </c>
      <c r="S228" s="76">
        <v>308.83</v>
      </c>
      <c r="T228" s="32" t="s">
        <v>23</v>
      </c>
      <c r="U228" s="75">
        <v>105</v>
      </c>
      <c r="V228" s="76">
        <v>19.56</v>
      </c>
      <c r="W228" s="75">
        <v>11</v>
      </c>
      <c r="X228" s="76">
        <v>24.3</v>
      </c>
      <c r="Y228" s="75">
        <v>2</v>
      </c>
      <c r="Z228" s="76">
        <v>13.8</v>
      </c>
      <c r="AA228" s="75">
        <v>5</v>
      </c>
      <c r="AB228" s="76">
        <v>165.1</v>
      </c>
      <c r="AC228" s="75">
        <v>1</v>
      </c>
      <c r="AD228" s="76">
        <v>11.8</v>
      </c>
      <c r="AE228" s="75">
        <v>1</v>
      </c>
      <c r="AF228" s="76">
        <v>1.7</v>
      </c>
      <c r="AG228" s="75">
        <v>1</v>
      </c>
      <c r="AH228" s="76">
        <v>3.7</v>
      </c>
      <c r="AI228" s="75">
        <v>0</v>
      </c>
      <c r="AJ228" s="76">
        <v>0</v>
      </c>
      <c r="AK228" s="75">
        <v>126</v>
      </c>
      <c r="AL228" s="76">
        <v>239.96</v>
      </c>
    </row>
    <row r="229" spans="1:38" ht="13.5">
      <c r="A229" s="32" t="s">
        <v>24</v>
      </c>
      <c r="B229" s="75">
        <v>48</v>
      </c>
      <c r="C229" s="76">
        <v>13.94</v>
      </c>
      <c r="D229" s="75">
        <v>22</v>
      </c>
      <c r="E229" s="76">
        <v>75.2</v>
      </c>
      <c r="F229" s="75">
        <v>13</v>
      </c>
      <c r="G229" s="76">
        <v>88.8</v>
      </c>
      <c r="H229" s="75">
        <v>13</v>
      </c>
      <c r="I229" s="76">
        <v>877.5</v>
      </c>
      <c r="J229" s="75">
        <v>1</v>
      </c>
      <c r="K229" s="76">
        <v>62.5</v>
      </c>
      <c r="L229" s="75">
        <v>9</v>
      </c>
      <c r="M229" s="76">
        <v>306.3</v>
      </c>
      <c r="N229" s="75">
        <v>0</v>
      </c>
      <c r="O229" s="76">
        <v>0</v>
      </c>
      <c r="P229" s="75">
        <v>1</v>
      </c>
      <c r="Q229" s="76">
        <v>48.4</v>
      </c>
      <c r="R229" s="75">
        <v>107</v>
      </c>
      <c r="S229" s="76">
        <v>1472.64</v>
      </c>
      <c r="T229" s="32" t="s">
        <v>24</v>
      </c>
      <c r="U229" s="75">
        <v>48</v>
      </c>
      <c r="V229" s="76">
        <v>14.03</v>
      </c>
      <c r="W229" s="75">
        <v>21</v>
      </c>
      <c r="X229" s="76">
        <v>45</v>
      </c>
      <c r="Y229" s="75">
        <v>13</v>
      </c>
      <c r="Z229" s="76">
        <v>78.1</v>
      </c>
      <c r="AA229" s="75">
        <v>13</v>
      </c>
      <c r="AB229" s="76">
        <v>268.9</v>
      </c>
      <c r="AC229" s="75">
        <v>1</v>
      </c>
      <c r="AD229" s="76">
        <v>43.8</v>
      </c>
      <c r="AE229" s="75">
        <v>7</v>
      </c>
      <c r="AF229" s="76">
        <v>176.4</v>
      </c>
      <c r="AG229" s="75">
        <v>0</v>
      </c>
      <c r="AH229" s="76">
        <v>0</v>
      </c>
      <c r="AI229" s="75">
        <v>1</v>
      </c>
      <c r="AJ229" s="76">
        <v>36.9</v>
      </c>
      <c r="AK229" s="75">
        <v>104</v>
      </c>
      <c r="AL229" s="76">
        <v>663.13</v>
      </c>
    </row>
    <row r="230" spans="1:38" ht="13.5">
      <c r="A230" s="32" t="s">
        <v>67</v>
      </c>
      <c r="B230" s="75">
        <v>324</v>
      </c>
      <c r="C230" s="76">
        <v>76.38</v>
      </c>
      <c r="D230" s="75">
        <v>59</v>
      </c>
      <c r="E230" s="76">
        <v>106.8</v>
      </c>
      <c r="F230" s="75">
        <v>16</v>
      </c>
      <c r="G230" s="76">
        <v>80</v>
      </c>
      <c r="H230" s="75">
        <v>15</v>
      </c>
      <c r="I230" s="76">
        <v>312.2</v>
      </c>
      <c r="J230" s="75">
        <v>7</v>
      </c>
      <c r="K230" s="76">
        <v>209.7</v>
      </c>
      <c r="L230" s="75">
        <v>6</v>
      </c>
      <c r="M230" s="76">
        <v>34.5</v>
      </c>
      <c r="N230" s="75">
        <v>10</v>
      </c>
      <c r="O230" s="76">
        <v>33.599999999999994</v>
      </c>
      <c r="P230" s="75">
        <v>3</v>
      </c>
      <c r="Q230" s="76">
        <v>225.3</v>
      </c>
      <c r="R230" s="75">
        <v>440</v>
      </c>
      <c r="S230" s="76">
        <v>1078.48</v>
      </c>
      <c r="T230" s="32" t="s">
        <v>67</v>
      </c>
      <c r="U230" s="75">
        <v>320</v>
      </c>
      <c r="V230" s="76">
        <v>76.63</v>
      </c>
      <c r="W230" s="75">
        <v>57</v>
      </c>
      <c r="X230" s="76">
        <v>93.6</v>
      </c>
      <c r="Y230" s="75">
        <v>14</v>
      </c>
      <c r="Z230" s="76">
        <v>66.9</v>
      </c>
      <c r="AA230" s="75">
        <v>13</v>
      </c>
      <c r="AB230" s="76">
        <v>251.29999999999998</v>
      </c>
      <c r="AC230" s="75">
        <v>6</v>
      </c>
      <c r="AD230" s="76">
        <v>197.8</v>
      </c>
      <c r="AE230" s="75">
        <v>6</v>
      </c>
      <c r="AF230" s="76">
        <v>32.1</v>
      </c>
      <c r="AG230" s="75">
        <v>10</v>
      </c>
      <c r="AH230" s="76">
        <v>26.7</v>
      </c>
      <c r="AI230" s="75">
        <v>3</v>
      </c>
      <c r="AJ230" s="76">
        <v>174.8</v>
      </c>
      <c r="AK230" s="75">
        <v>429</v>
      </c>
      <c r="AL230" s="76">
        <v>919.8299999999999</v>
      </c>
    </row>
    <row r="231" spans="1:38" ht="13.5">
      <c r="A231" s="32" t="s">
        <v>22</v>
      </c>
      <c r="B231" s="75">
        <v>240</v>
      </c>
      <c r="C231" s="76">
        <v>54.64</v>
      </c>
      <c r="D231" s="75">
        <v>31</v>
      </c>
      <c r="E231" s="76">
        <v>53.3</v>
      </c>
      <c r="F231" s="75">
        <v>4</v>
      </c>
      <c r="G231" s="76">
        <v>19.9</v>
      </c>
      <c r="H231" s="75">
        <v>1</v>
      </c>
      <c r="I231" s="76">
        <v>56.3</v>
      </c>
      <c r="J231" s="75">
        <v>2</v>
      </c>
      <c r="K231" s="76">
        <v>41.2</v>
      </c>
      <c r="L231" s="75">
        <v>1</v>
      </c>
      <c r="M231" s="76">
        <v>14.6</v>
      </c>
      <c r="N231" s="75">
        <v>5</v>
      </c>
      <c r="O231" s="76">
        <v>10.5</v>
      </c>
      <c r="P231" s="75">
        <v>1</v>
      </c>
      <c r="Q231" s="76">
        <v>126.9</v>
      </c>
      <c r="R231" s="75">
        <v>285</v>
      </c>
      <c r="S231" s="76">
        <v>377.34</v>
      </c>
      <c r="T231" s="32" t="s">
        <v>22</v>
      </c>
      <c r="U231" s="75">
        <v>238</v>
      </c>
      <c r="V231" s="76">
        <v>55.24</v>
      </c>
      <c r="W231" s="75">
        <v>29</v>
      </c>
      <c r="X231" s="76">
        <v>41.9</v>
      </c>
      <c r="Y231" s="75">
        <v>4</v>
      </c>
      <c r="Z231" s="76">
        <v>19.6</v>
      </c>
      <c r="AA231" s="75">
        <v>1</v>
      </c>
      <c r="AB231" s="76">
        <v>53.6</v>
      </c>
      <c r="AC231" s="75">
        <v>2</v>
      </c>
      <c r="AD231" s="76">
        <v>41.2</v>
      </c>
      <c r="AE231" s="75">
        <v>1</v>
      </c>
      <c r="AF231" s="76">
        <v>13.5</v>
      </c>
      <c r="AG231" s="75">
        <v>5</v>
      </c>
      <c r="AH231" s="76">
        <v>10.5</v>
      </c>
      <c r="AI231" s="75">
        <v>1</v>
      </c>
      <c r="AJ231" s="76">
        <v>125.4</v>
      </c>
      <c r="AK231" s="75">
        <v>281</v>
      </c>
      <c r="AL231" s="76">
        <v>360.94</v>
      </c>
    </row>
    <row r="232" spans="1:38" ht="13.5">
      <c r="A232" s="32" t="s">
        <v>23</v>
      </c>
      <c r="B232" s="75">
        <v>40</v>
      </c>
      <c r="C232" s="76">
        <v>10.53</v>
      </c>
      <c r="D232" s="75">
        <v>5</v>
      </c>
      <c r="E232" s="76">
        <v>10.5</v>
      </c>
      <c r="F232" s="75">
        <v>2</v>
      </c>
      <c r="G232" s="76">
        <v>10.6</v>
      </c>
      <c r="H232" s="75">
        <v>3</v>
      </c>
      <c r="I232" s="76">
        <v>73.8</v>
      </c>
      <c r="J232" s="75">
        <v>1</v>
      </c>
      <c r="K232" s="76">
        <v>13</v>
      </c>
      <c r="L232" s="75">
        <v>2</v>
      </c>
      <c r="M232" s="76">
        <v>4.9</v>
      </c>
      <c r="N232" s="75">
        <v>2</v>
      </c>
      <c r="O232" s="76">
        <v>6.7</v>
      </c>
      <c r="P232" s="75">
        <v>0</v>
      </c>
      <c r="Q232" s="76">
        <v>0</v>
      </c>
      <c r="R232" s="75">
        <v>55</v>
      </c>
      <c r="S232" s="76">
        <v>130.03</v>
      </c>
      <c r="T232" s="32" t="s">
        <v>23</v>
      </c>
      <c r="U232" s="75">
        <v>40</v>
      </c>
      <c r="V232" s="76">
        <v>10.56</v>
      </c>
      <c r="W232" s="75">
        <v>4</v>
      </c>
      <c r="X232" s="76">
        <v>9.4</v>
      </c>
      <c r="Y232" s="75">
        <v>2</v>
      </c>
      <c r="Z232" s="76">
        <v>10.6</v>
      </c>
      <c r="AA232" s="75">
        <v>3</v>
      </c>
      <c r="AB232" s="76">
        <v>36</v>
      </c>
      <c r="AC232" s="75">
        <v>1</v>
      </c>
      <c r="AD232" s="76">
        <v>13</v>
      </c>
      <c r="AE232" s="75">
        <v>2</v>
      </c>
      <c r="AF232" s="76">
        <v>3.6</v>
      </c>
      <c r="AG232" s="75">
        <v>2</v>
      </c>
      <c r="AH232" s="76">
        <v>5.1</v>
      </c>
      <c r="AI232" s="75">
        <v>0</v>
      </c>
      <c r="AJ232" s="76">
        <v>0</v>
      </c>
      <c r="AK232" s="75">
        <v>54</v>
      </c>
      <c r="AL232" s="76">
        <v>88.26</v>
      </c>
    </row>
    <row r="233" spans="1:38" ht="13.5">
      <c r="A233" s="32" t="s">
        <v>24</v>
      </c>
      <c r="B233" s="75">
        <v>44</v>
      </c>
      <c r="C233" s="76">
        <v>11.21</v>
      </c>
      <c r="D233" s="75">
        <v>23</v>
      </c>
      <c r="E233" s="76">
        <v>43</v>
      </c>
      <c r="F233" s="75">
        <v>10</v>
      </c>
      <c r="G233" s="76">
        <v>49.5</v>
      </c>
      <c r="H233" s="75">
        <v>11</v>
      </c>
      <c r="I233" s="76">
        <v>182.1</v>
      </c>
      <c r="J233" s="75">
        <v>4</v>
      </c>
      <c r="K233" s="76">
        <v>155.5</v>
      </c>
      <c r="L233" s="75">
        <v>3</v>
      </c>
      <c r="M233" s="76">
        <v>15</v>
      </c>
      <c r="N233" s="75">
        <v>3</v>
      </c>
      <c r="O233" s="76">
        <v>16.4</v>
      </c>
      <c r="P233" s="75">
        <v>2</v>
      </c>
      <c r="Q233" s="76">
        <v>98.4</v>
      </c>
      <c r="R233" s="75">
        <v>100</v>
      </c>
      <c r="S233" s="76">
        <v>571.11</v>
      </c>
      <c r="T233" s="32" t="s">
        <v>24</v>
      </c>
      <c r="U233" s="75">
        <v>42</v>
      </c>
      <c r="V233" s="76">
        <v>10.83</v>
      </c>
      <c r="W233" s="75">
        <v>24</v>
      </c>
      <c r="X233" s="76">
        <v>42.3</v>
      </c>
      <c r="Y233" s="75">
        <v>8</v>
      </c>
      <c r="Z233" s="76">
        <v>36.7</v>
      </c>
      <c r="AA233" s="75">
        <v>9</v>
      </c>
      <c r="AB233" s="76">
        <v>161.7</v>
      </c>
      <c r="AC233" s="75">
        <v>3</v>
      </c>
      <c r="AD233" s="76">
        <v>143.6</v>
      </c>
      <c r="AE233" s="75">
        <v>3</v>
      </c>
      <c r="AF233" s="76">
        <v>15</v>
      </c>
      <c r="AG233" s="75">
        <v>3</v>
      </c>
      <c r="AH233" s="76">
        <v>11.1</v>
      </c>
      <c r="AI233" s="75">
        <v>2</v>
      </c>
      <c r="AJ233" s="76">
        <v>49.4</v>
      </c>
      <c r="AK233" s="75">
        <v>94</v>
      </c>
      <c r="AL233" s="76">
        <v>470.63</v>
      </c>
    </row>
    <row r="234" spans="1:38" ht="13.5">
      <c r="A234" s="32" t="s">
        <v>68</v>
      </c>
      <c r="B234" s="75">
        <v>292</v>
      </c>
      <c r="C234" s="76">
        <v>80.64</v>
      </c>
      <c r="D234" s="75">
        <v>56</v>
      </c>
      <c r="E234" s="76">
        <v>109.9</v>
      </c>
      <c r="F234" s="75">
        <v>11</v>
      </c>
      <c r="G234" s="76">
        <v>59.099999999999994</v>
      </c>
      <c r="H234" s="75">
        <v>26</v>
      </c>
      <c r="I234" s="76">
        <v>276.2</v>
      </c>
      <c r="J234" s="75">
        <v>11</v>
      </c>
      <c r="K234" s="76">
        <v>225.89999999999998</v>
      </c>
      <c r="L234" s="75">
        <v>12</v>
      </c>
      <c r="M234" s="76">
        <v>249.5</v>
      </c>
      <c r="N234" s="75">
        <v>9</v>
      </c>
      <c r="O234" s="76">
        <v>56.3</v>
      </c>
      <c r="P234" s="75">
        <v>2</v>
      </c>
      <c r="Q234" s="76">
        <v>297</v>
      </c>
      <c r="R234" s="75">
        <v>419</v>
      </c>
      <c r="S234" s="76">
        <v>1354.54</v>
      </c>
      <c r="T234" s="32" t="s">
        <v>68</v>
      </c>
      <c r="U234" s="75">
        <v>268</v>
      </c>
      <c r="V234" s="76">
        <v>71.41</v>
      </c>
      <c r="W234" s="75">
        <v>43</v>
      </c>
      <c r="X234" s="76">
        <v>67</v>
      </c>
      <c r="Y234" s="75">
        <v>9</v>
      </c>
      <c r="Z234" s="76">
        <v>46.3</v>
      </c>
      <c r="AA234" s="75">
        <v>21</v>
      </c>
      <c r="AB234" s="76">
        <v>182.3</v>
      </c>
      <c r="AC234" s="75">
        <v>8</v>
      </c>
      <c r="AD234" s="76">
        <v>146.89999999999998</v>
      </c>
      <c r="AE234" s="75">
        <v>9</v>
      </c>
      <c r="AF234" s="76">
        <v>47.9</v>
      </c>
      <c r="AG234" s="75">
        <v>5</v>
      </c>
      <c r="AH234" s="76">
        <v>33.3</v>
      </c>
      <c r="AI234" s="75">
        <v>2</v>
      </c>
      <c r="AJ234" s="76">
        <v>199.3</v>
      </c>
      <c r="AK234" s="75">
        <v>365</v>
      </c>
      <c r="AL234" s="76">
        <v>794.4100000000001</v>
      </c>
    </row>
    <row r="235" spans="1:38" ht="13.5">
      <c r="A235" s="32" t="s">
        <v>22</v>
      </c>
      <c r="B235" s="75">
        <v>169</v>
      </c>
      <c r="C235" s="76">
        <v>48.21</v>
      </c>
      <c r="D235" s="75">
        <v>27</v>
      </c>
      <c r="E235" s="76">
        <v>57.6</v>
      </c>
      <c r="F235" s="75">
        <v>3</v>
      </c>
      <c r="G235" s="76">
        <v>15.5</v>
      </c>
      <c r="H235" s="75">
        <v>9</v>
      </c>
      <c r="I235" s="76">
        <v>104</v>
      </c>
      <c r="J235" s="75">
        <v>5</v>
      </c>
      <c r="K235" s="76">
        <v>84.5</v>
      </c>
      <c r="L235" s="75">
        <v>1</v>
      </c>
      <c r="M235" s="76">
        <v>14</v>
      </c>
      <c r="N235" s="75">
        <v>3</v>
      </c>
      <c r="O235" s="76">
        <v>19.2</v>
      </c>
      <c r="P235" s="75">
        <v>0</v>
      </c>
      <c r="Q235" s="76">
        <v>0</v>
      </c>
      <c r="R235" s="75">
        <v>217</v>
      </c>
      <c r="S235" s="76">
        <v>343.01</v>
      </c>
      <c r="T235" s="32" t="s">
        <v>22</v>
      </c>
      <c r="U235" s="75">
        <v>156</v>
      </c>
      <c r="V235" s="76">
        <v>43.43</v>
      </c>
      <c r="W235" s="75">
        <v>21</v>
      </c>
      <c r="X235" s="76">
        <v>35.6</v>
      </c>
      <c r="Y235" s="75">
        <v>3</v>
      </c>
      <c r="Z235" s="76">
        <v>13.5</v>
      </c>
      <c r="AA235" s="75">
        <v>8</v>
      </c>
      <c r="AB235" s="76">
        <v>84.6</v>
      </c>
      <c r="AC235" s="75">
        <v>4</v>
      </c>
      <c r="AD235" s="76">
        <v>44.6</v>
      </c>
      <c r="AE235" s="75">
        <v>1</v>
      </c>
      <c r="AF235" s="76">
        <v>13</v>
      </c>
      <c r="AG235" s="75">
        <v>2</v>
      </c>
      <c r="AH235" s="76">
        <v>1.7</v>
      </c>
      <c r="AI235" s="75">
        <v>0</v>
      </c>
      <c r="AJ235" s="76">
        <v>0</v>
      </c>
      <c r="AK235" s="75">
        <v>195</v>
      </c>
      <c r="AL235" s="76">
        <v>236.43</v>
      </c>
    </row>
    <row r="236" spans="1:38" ht="13.5">
      <c r="A236" s="32" t="s">
        <v>23</v>
      </c>
      <c r="B236" s="75">
        <v>113</v>
      </c>
      <c r="C236" s="76">
        <v>29.84</v>
      </c>
      <c r="D236" s="75">
        <v>24</v>
      </c>
      <c r="E236" s="76">
        <v>40.8</v>
      </c>
      <c r="F236" s="75">
        <v>4</v>
      </c>
      <c r="G236" s="76">
        <v>20.4</v>
      </c>
      <c r="H236" s="75">
        <v>12</v>
      </c>
      <c r="I236" s="76">
        <v>107.7</v>
      </c>
      <c r="J236" s="75">
        <v>4</v>
      </c>
      <c r="K236" s="76">
        <v>84.1</v>
      </c>
      <c r="L236" s="75">
        <v>7</v>
      </c>
      <c r="M236" s="76">
        <v>149.6</v>
      </c>
      <c r="N236" s="75">
        <v>2</v>
      </c>
      <c r="O236" s="76">
        <v>6.4</v>
      </c>
      <c r="P236" s="75">
        <v>0</v>
      </c>
      <c r="Q236" s="76">
        <v>0</v>
      </c>
      <c r="R236" s="75">
        <v>166</v>
      </c>
      <c r="S236" s="76">
        <v>438.84</v>
      </c>
      <c r="T236" s="32" t="s">
        <v>23</v>
      </c>
      <c r="U236" s="75">
        <v>102</v>
      </c>
      <c r="V236" s="76">
        <v>25.39</v>
      </c>
      <c r="W236" s="75">
        <v>19</v>
      </c>
      <c r="X236" s="76">
        <v>28.3</v>
      </c>
      <c r="Y236" s="75">
        <v>2</v>
      </c>
      <c r="Z236" s="76">
        <v>11.8</v>
      </c>
      <c r="AA236" s="75">
        <v>9</v>
      </c>
      <c r="AB236" s="76">
        <v>47.5</v>
      </c>
      <c r="AC236" s="75">
        <v>2</v>
      </c>
      <c r="AD236" s="76">
        <v>48.5</v>
      </c>
      <c r="AE236" s="75">
        <v>5</v>
      </c>
      <c r="AF236" s="76">
        <v>24</v>
      </c>
      <c r="AG236" s="75">
        <v>1</v>
      </c>
      <c r="AH236" s="76">
        <v>5.7</v>
      </c>
      <c r="AI236" s="75">
        <v>0</v>
      </c>
      <c r="AJ236" s="76">
        <v>0</v>
      </c>
      <c r="AK236" s="75">
        <v>140</v>
      </c>
      <c r="AL236" s="76">
        <v>191.19</v>
      </c>
    </row>
    <row r="237" spans="1:38" ht="13.5">
      <c r="A237" s="32" t="s">
        <v>24</v>
      </c>
      <c r="B237" s="75">
        <v>10</v>
      </c>
      <c r="C237" s="76">
        <v>2.59</v>
      </c>
      <c r="D237" s="75">
        <v>5</v>
      </c>
      <c r="E237" s="76">
        <v>11.5</v>
      </c>
      <c r="F237" s="75">
        <v>4</v>
      </c>
      <c r="G237" s="76">
        <v>23.2</v>
      </c>
      <c r="H237" s="75">
        <v>5</v>
      </c>
      <c r="I237" s="76">
        <v>64.5</v>
      </c>
      <c r="J237" s="75">
        <v>2</v>
      </c>
      <c r="K237" s="76">
        <v>57.3</v>
      </c>
      <c r="L237" s="75">
        <v>4</v>
      </c>
      <c r="M237" s="76">
        <v>85.9</v>
      </c>
      <c r="N237" s="75">
        <v>4</v>
      </c>
      <c r="O237" s="76">
        <v>30.7</v>
      </c>
      <c r="P237" s="75">
        <v>2</v>
      </c>
      <c r="Q237" s="76">
        <v>297</v>
      </c>
      <c r="R237" s="75">
        <v>36</v>
      </c>
      <c r="S237" s="76">
        <v>572.69</v>
      </c>
      <c r="T237" s="32" t="s">
        <v>24</v>
      </c>
      <c r="U237" s="75">
        <v>10</v>
      </c>
      <c r="V237" s="76">
        <v>2.59</v>
      </c>
      <c r="W237" s="75">
        <v>3</v>
      </c>
      <c r="X237" s="76">
        <v>3.1</v>
      </c>
      <c r="Y237" s="75">
        <v>4</v>
      </c>
      <c r="Z237" s="76">
        <v>21</v>
      </c>
      <c r="AA237" s="75">
        <v>4</v>
      </c>
      <c r="AB237" s="76">
        <v>50.2</v>
      </c>
      <c r="AC237" s="75">
        <v>2</v>
      </c>
      <c r="AD237" s="76">
        <v>53.8</v>
      </c>
      <c r="AE237" s="75">
        <v>3</v>
      </c>
      <c r="AF237" s="76">
        <v>10.9</v>
      </c>
      <c r="AG237" s="75">
        <v>2</v>
      </c>
      <c r="AH237" s="76">
        <v>25.9</v>
      </c>
      <c r="AI237" s="75">
        <v>2</v>
      </c>
      <c r="AJ237" s="76">
        <v>199.3</v>
      </c>
      <c r="AK237" s="75">
        <v>30</v>
      </c>
      <c r="AL237" s="76">
        <v>366.79</v>
      </c>
    </row>
    <row r="238" spans="1:39" ht="13.5">
      <c r="A238" s="32" t="s">
        <v>69</v>
      </c>
      <c r="B238" s="75">
        <v>462</v>
      </c>
      <c r="C238" s="76">
        <v>110.49</v>
      </c>
      <c r="D238" s="75">
        <v>49</v>
      </c>
      <c r="E238" s="76">
        <v>93.69999999999999</v>
      </c>
      <c r="F238" s="75">
        <v>13</v>
      </c>
      <c r="G238" s="76">
        <v>89.89999999999999</v>
      </c>
      <c r="H238" s="75">
        <v>18</v>
      </c>
      <c r="I238" s="76">
        <v>472.5</v>
      </c>
      <c r="J238" s="75">
        <v>20</v>
      </c>
      <c r="K238" s="76">
        <v>408.3</v>
      </c>
      <c r="L238" s="75">
        <v>9</v>
      </c>
      <c r="M238" s="76">
        <v>194</v>
      </c>
      <c r="N238" s="75">
        <v>7</v>
      </c>
      <c r="O238" s="76">
        <v>118.6</v>
      </c>
      <c r="P238" s="75">
        <v>2</v>
      </c>
      <c r="Q238" s="76">
        <v>544.9</v>
      </c>
      <c r="R238" s="75">
        <v>580</v>
      </c>
      <c r="S238" s="76">
        <v>2032.3899999999999</v>
      </c>
      <c r="T238" s="32" t="s">
        <v>69</v>
      </c>
      <c r="U238" s="75">
        <v>448</v>
      </c>
      <c r="V238" s="76">
        <v>106.35</v>
      </c>
      <c r="W238" s="75">
        <v>44</v>
      </c>
      <c r="X238" s="76">
        <v>84</v>
      </c>
      <c r="Y238" s="75">
        <v>13</v>
      </c>
      <c r="Z238" s="76">
        <v>78.80000000000001</v>
      </c>
      <c r="AA238" s="75">
        <v>18</v>
      </c>
      <c r="AB238" s="76">
        <v>356.8</v>
      </c>
      <c r="AC238" s="75">
        <v>20</v>
      </c>
      <c r="AD238" s="76">
        <v>334.2</v>
      </c>
      <c r="AE238" s="75">
        <v>8</v>
      </c>
      <c r="AF238" s="76">
        <v>148.79999999999998</v>
      </c>
      <c r="AG238" s="75">
        <v>7</v>
      </c>
      <c r="AH238" s="76">
        <v>109.51</v>
      </c>
      <c r="AI238" s="75">
        <v>2</v>
      </c>
      <c r="AJ238" s="76">
        <v>282.4</v>
      </c>
      <c r="AK238" s="75">
        <v>560</v>
      </c>
      <c r="AL238" s="76">
        <v>1500.8600000000001</v>
      </c>
      <c r="AM238" s="26"/>
    </row>
    <row r="239" spans="1:39" ht="13.5">
      <c r="A239" s="32" t="s">
        <v>22</v>
      </c>
      <c r="B239" s="75">
        <v>308</v>
      </c>
      <c r="C239" s="76">
        <v>73.75</v>
      </c>
      <c r="D239" s="75">
        <v>17</v>
      </c>
      <c r="E239" s="76">
        <v>39.4</v>
      </c>
      <c r="F239" s="75">
        <v>4</v>
      </c>
      <c r="G239" s="76">
        <v>30.1</v>
      </c>
      <c r="H239" s="75">
        <v>3</v>
      </c>
      <c r="I239" s="76">
        <v>29.5</v>
      </c>
      <c r="J239" s="75">
        <v>3</v>
      </c>
      <c r="K239" s="76">
        <v>63.2</v>
      </c>
      <c r="L239" s="75">
        <v>1</v>
      </c>
      <c r="M239" s="76">
        <v>8.5</v>
      </c>
      <c r="N239" s="75">
        <v>2</v>
      </c>
      <c r="O239" s="76">
        <v>17.1</v>
      </c>
      <c r="P239" s="75">
        <v>0</v>
      </c>
      <c r="Q239" s="76">
        <v>0</v>
      </c>
      <c r="R239" s="75">
        <v>338</v>
      </c>
      <c r="S239" s="76">
        <v>261.55</v>
      </c>
      <c r="T239" s="32" t="s">
        <v>22</v>
      </c>
      <c r="U239" s="75">
        <v>302</v>
      </c>
      <c r="V239" s="76">
        <v>71.56</v>
      </c>
      <c r="W239" s="75">
        <v>16</v>
      </c>
      <c r="X239" s="76">
        <v>36.8</v>
      </c>
      <c r="Y239" s="75">
        <v>4</v>
      </c>
      <c r="Z239" s="76">
        <v>30.1</v>
      </c>
      <c r="AA239" s="75">
        <v>3</v>
      </c>
      <c r="AB239" s="76">
        <v>23.3</v>
      </c>
      <c r="AC239" s="75">
        <v>3</v>
      </c>
      <c r="AD239" s="76">
        <v>60.8</v>
      </c>
      <c r="AE239" s="75">
        <v>1</v>
      </c>
      <c r="AF239" s="76">
        <v>4.2</v>
      </c>
      <c r="AG239" s="75">
        <v>2</v>
      </c>
      <c r="AH239" s="76">
        <v>14.4</v>
      </c>
      <c r="AI239" s="75">
        <v>0</v>
      </c>
      <c r="AJ239" s="76">
        <v>0</v>
      </c>
      <c r="AK239" s="75">
        <v>331</v>
      </c>
      <c r="AL239" s="76">
        <v>241.16</v>
      </c>
      <c r="AM239" s="26"/>
    </row>
    <row r="240" spans="1:39" ht="13.5">
      <c r="A240" s="32" t="s">
        <v>23</v>
      </c>
      <c r="B240" s="75">
        <v>132</v>
      </c>
      <c r="C240" s="76">
        <v>30.04</v>
      </c>
      <c r="D240" s="75">
        <v>21</v>
      </c>
      <c r="E240" s="76">
        <v>31.9</v>
      </c>
      <c r="F240" s="75">
        <v>5</v>
      </c>
      <c r="G240" s="76">
        <v>39.5</v>
      </c>
      <c r="H240" s="75">
        <v>3</v>
      </c>
      <c r="I240" s="76">
        <v>75.7</v>
      </c>
      <c r="J240" s="75">
        <v>7</v>
      </c>
      <c r="K240" s="76">
        <v>111.2</v>
      </c>
      <c r="L240" s="75">
        <v>0</v>
      </c>
      <c r="M240" s="76">
        <v>0</v>
      </c>
      <c r="N240" s="75">
        <v>1</v>
      </c>
      <c r="O240" s="76">
        <v>0.2</v>
      </c>
      <c r="P240" s="75">
        <v>0</v>
      </c>
      <c r="Q240" s="76">
        <v>0</v>
      </c>
      <c r="R240" s="75">
        <v>169</v>
      </c>
      <c r="S240" s="76">
        <v>288.54</v>
      </c>
      <c r="T240" s="32" t="s">
        <v>23</v>
      </c>
      <c r="U240" s="75">
        <v>124</v>
      </c>
      <c r="V240" s="76">
        <v>28.27</v>
      </c>
      <c r="W240" s="75">
        <v>18</v>
      </c>
      <c r="X240" s="76">
        <v>27</v>
      </c>
      <c r="Y240" s="75">
        <v>5</v>
      </c>
      <c r="Z240" s="76">
        <v>31.8</v>
      </c>
      <c r="AA240" s="75">
        <v>3</v>
      </c>
      <c r="AB240" s="76">
        <v>75.7</v>
      </c>
      <c r="AC240" s="75">
        <v>7</v>
      </c>
      <c r="AD240" s="76">
        <v>111.2</v>
      </c>
      <c r="AE240" s="75">
        <v>0</v>
      </c>
      <c r="AF240" s="76">
        <v>0</v>
      </c>
      <c r="AG240" s="75">
        <v>1</v>
      </c>
      <c r="AH240" s="76">
        <v>0.21</v>
      </c>
      <c r="AI240" s="75">
        <v>0</v>
      </c>
      <c r="AJ240" s="76">
        <v>0</v>
      </c>
      <c r="AK240" s="75">
        <v>158</v>
      </c>
      <c r="AL240" s="76">
        <v>274.18</v>
      </c>
      <c r="AM240" s="26"/>
    </row>
    <row r="241" spans="1:39" ht="13.5">
      <c r="A241" s="32" t="s">
        <v>24</v>
      </c>
      <c r="B241" s="75">
        <v>22</v>
      </c>
      <c r="C241" s="76">
        <v>6.7</v>
      </c>
      <c r="D241" s="75">
        <v>11</v>
      </c>
      <c r="E241" s="76">
        <v>22.4</v>
      </c>
      <c r="F241" s="75">
        <v>4</v>
      </c>
      <c r="G241" s="76">
        <v>20.3</v>
      </c>
      <c r="H241" s="75">
        <v>12</v>
      </c>
      <c r="I241" s="76">
        <v>367.3</v>
      </c>
      <c r="J241" s="75">
        <v>10</v>
      </c>
      <c r="K241" s="76">
        <v>233.9</v>
      </c>
      <c r="L241" s="75">
        <v>8</v>
      </c>
      <c r="M241" s="76">
        <v>185.5</v>
      </c>
      <c r="N241" s="75">
        <v>4</v>
      </c>
      <c r="O241" s="76">
        <v>101.3</v>
      </c>
      <c r="P241" s="75">
        <v>2</v>
      </c>
      <c r="Q241" s="76">
        <v>544.9</v>
      </c>
      <c r="R241" s="75">
        <v>73</v>
      </c>
      <c r="S241" s="76">
        <v>1482.3</v>
      </c>
      <c r="T241" s="32" t="s">
        <v>24</v>
      </c>
      <c r="U241" s="75">
        <v>22</v>
      </c>
      <c r="V241" s="76">
        <v>6.52</v>
      </c>
      <c r="W241" s="75">
        <v>10</v>
      </c>
      <c r="X241" s="76">
        <v>20.2</v>
      </c>
      <c r="Y241" s="75">
        <v>4</v>
      </c>
      <c r="Z241" s="76">
        <v>16.9</v>
      </c>
      <c r="AA241" s="75">
        <v>12</v>
      </c>
      <c r="AB241" s="76">
        <v>257.8</v>
      </c>
      <c r="AC241" s="75">
        <v>10</v>
      </c>
      <c r="AD241" s="76">
        <v>162.2</v>
      </c>
      <c r="AE241" s="75">
        <v>7</v>
      </c>
      <c r="AF241" s="76">
        <v>144.6</v>
      </c>
      <c r="AG241" s="75">
        <v>4</v>
      </c>
      <c r="AH241" s="76">
        <v>94.9</v>
      </c>
      <c r="AI241" s="75">
        <v>2</v>
      </c>
      <c r="AJ241" s="76">
        <v>282.4</v>
      </c>
      <c r="AK241" s="75">
        <v>71</v>
      </c>
      <c r="AL241" s="76">
        <v>985.52</v>
      </c>
      <c r="AM241" s="26"/>
    </row>
    <row r="242" spans="1:41" ht="13.5">
      <c r="A242" s="32" t="s">
        <v>70</v>
      </c>
      <c r="B242" s="75">
        <v>319</v>
      </c>
      <c r="C242" s="76">
        <v>84.97</v>
      </c>
      <c r="D242" s="75">
        <v>51</v>
      </c>
      <c r="E242" s="76">
        <v>97.2</v>
      </c>
      <c r="F242" s="75">
        <v>21</v>
      </c>
      <c r="G242" s="76">
        <v>113</v>
      </c>
      <c r="H242" s="75">
        <v>27</v>
      </c>
      <c r="I242" s="76">
        <v>668.3</v>
      </c>
      <c r="J242" s="75">
        <v>18</v>
      </c>
      <c r="K242" s="76">
        <v>332.1</v>
      </c>
      <c r="L242" s="75">
        <v>8</v>
      </c>
      <c r="M242" s="76">
        <v>110.3</v>
      </c>
      <c r="N242" s="75">
        <v>1</v>
      </c>
      <c r="O242" s="76">
        <v>31.4</v>
      </c>
      <c r="P242" s="75">
        <v>3</v>
      </c>
      <c r="Q242" s="76">
        <v>308.7</v>
      </c>
      <c r="R242" s="75">
        <v>448</v>
      </c>
      <c r="S242" s="76">
        <v>1745.97</v>
      </c>
      <c r="T242" s="32" t="s">
        <v>70</v>
      </c>
      <c r="U242" s="75">
        <v>310</v>
      </c>
      <c r="V242" s="76">
        <v>81.46</v>
      </c>
      <c r="W242" s="75">
        <v>49</v>
      </c>
      <c r="X242" s="76">
        <v>89.10000000000001</v>
      </c>
      <c r="Y242" s="75">
        <v>21</v>
      </c>
      <c r="Z242" s="76">
        <v>105.80000000000001</v>
      </c>
      <c r="AA242" s="75">
        <v>27</v>
      </c>
      <c r="AB242" s="76">
        <v>518.6</v>
      </c>
      <c r="AC242" s="75">
        <v>17</v>
      </c>
      <c r="AD242" s="76">
        <v>314.2</v>
      </c>
      <c r="AE242" s="75">
        <v>5</v>
      </c>
      <c r="AF242" s="76">
        <v>55.900000000000006</v>
      </c>
      <c r="AG242" s="75">
        <v>1</v>
      </c>
      <c r="AH242" s="76">
        <v>29.3</v>
      </c>
      <c r="AI242" s="75">
        <v>3</v>
      </c>
      <c r="AJ242" s="76">
        <v>164.2</v>
      </c>
      <c r="AK242" s="75">
        <v>433</v>
      </c>
      <c r="AL242" s="76">
        <v>1358.56</v>
      </c>
      <c r="AM242" s="26"/>
      <c r="AN242" s="26"/>
      <c r="AO242" s="26"/>
    </row>
    <row r="243" spans="1:38" ht="13.5">
      <c r="A243" s="32" t="s">
        <v>22</v>
      </c>
      <c r="B243" s="75">
        <v>200</v>
      </c>
      <c r="C243" s="76">
        <v>48.32</v>
      </c>
      <c r="D243" s="75">
        <v>17</v>
      </c>
      <c r="E243" s="76">
        <v>31</v>
      </c>
      <c r="F243" s="75">
        <v>7</v>
      </c>
      <c r="G243" s="76">
        <v>41.7</v>
      </c>
      <c r="H243" s="75">
        <v>1</v>
      </c>
      <c r="I243" s="76">
        <v>10.5</v>
      </c>
      <c r="J243" s="75">
        <v>1</v>
      </c>
      <c r="K243" s="76">
        <v>38.8</v>
      </c>
      <c r="L243" s="75">
        <v>4</v>
      </c>
      <c r="M243" s="76">
        <v>38.8</v>
      </c>
      <c r="N243" s="75">
        <v>0</v>
      </c>
      <c r="O243" s="76">
        <v>0</v>
      </c>
      <c r="P243" s="75">
        <v>0</v>
      </c>
      <c r="Q243" s="76">
        <v>0</v>
      </c>
      <c r="R243" s="75">
        <v>230</v>
      </c>
      <c r="S243" s="76">
        <v>209.12</v>
      </c>
      <c r="T243" s="32" t="s">
        <v>22</v>
      </c>
      <c r="U243" s="75">
        <v>199</v>
      </c>
      <c r="V243" s="76">
        <v>47.43</v>
      </c>
      <c r="W243" s="75">
        <v>17</v>
      </c>
      <c r="X243" s="76">
        <v>30.6</v>
      </c>
      <c r="Y243" s="75">
        <v>7</v>
      </c>
      <c r="Z243" s="76">
        <v>41.6</v>
      </c>
      <c r="AA243" s="75">
        <v>1</v>
      </c>
      <c r="AB243" s="76">
        <v>10</v>
      </c>
      <c r="AC243" s="75">
        <v>1</v>
      </c>
      <c r="AD243" s="76">
        <v>38.8</v>
      </c>
      <c r="AE243" s="75">
        <v>3</v>
      </c>
      <c r="AF243" s="76">
        <v>33.2</v>
      </c>
      <c r="AG243" s="75">
        <v>0</v>
      </c>
      <c r="AH243" s="76">
        <v>0</v>
      </c>
      <c r="AI243" s="75">
        <v>0</v>
      </c>
      <c r="AJ243" s="76">
        <v>0</v>
      </c>
      <c r="AK243" s="75">
        <v>228</v>
      </c>
      <c r="AL243" s="76">
        <v>201.63</v>
      </c>
    </row>
    <row r="244" spans="1:38" ht="13.5">
      <c r="A244" s="32" t="s">
        <v>23</v>
      </c>
      <c r="B244" s="75">
        <v>92</v>
      </c>
      <c r="C244" s="76">
        <v>26.41</v>
      </c>
      <c r="D244" s="75">
        <v>8</v>
      </c>
      <c r="E244" s="76">
        <v>14</v>
      </c>
      <c r="F244" s="75">
        <v>4</v>
      </c>
      <c r="G244" s="76">
        <v>21.9</v>
      </c>
      <c r="H244" s="75">
        <v>3</v>
      </c>
      <c r="I244" s="76">
        <v>65.3</v>
      </c>
      <c r="J244" s="75">
        <v>3</v>
      </c>
      <c r="K244" s="76">
        <v>52</v>
      </c>
      <c r="L244" s="75">
        <v>0</v>
      </c>
      <c r="M244" s="76">
        <v>0</v>
      </c>
      <c r="N244" s="75">
        <v>0</v>
      </c>
      <c r="O244" s="76">
        <v>0</v>
      </c>
      <c r="P244" s="75">
        <v>0</v>
      </c>
      <c r="Q244" s="76">
        <v>0</v>
      </c>
      <c r="R244" s="75">
        <v>110</v>
      </c>
      <c r="S244" s="76">
        <v>179.61</v>
      </c>
      <c r="T244" s="32" t="s">
        <v>23</v>
      </c>
      <c r="U244" s="75">
        <v>86</v>
      </c>
      <c r="V244" s="76">
        <v>24.76</v>
      </c>
      <c r="W244" s="75">
        <v>8</v>
      </c>
      <c r="X244" s="76">
        <v>12.8</v>
      </c>
      <c r="Y244" s="75">
        <v>4</v>
      </c>
      <c r="Z244" s="76">
        <v>19.6</v>
      </c>
      <c r="AA244" s="75">
        <v>3</v>
      </c>
      <c r="AB244" s="76">
        <v>65.3</v>
      </c>
      <c r="AC244" s="75">
        <v>3</v>
      </c>
      <c r="AD244" s="76">
        <v>52</v>
      </c>
      <c r="AE244" s="75">
        <v>0</v>
      </c>
      <c r="AF244" s="76">
        <v>0</v>
      </c>
      <c r="AG244" s="75">
        <v>0</v>
      </c>
      <c r="AH244" s="76">
        <v>0</v>
      </c>
      <c r="AI244" s="75">
        <v>0</v>
      </c>
      <c r="AJ244" s="76">
        <v>0</v>
      </c>
      <c r="AK244" s="75">
        <v>104</v>
      </c>
      <c r="AL244" s="76">
        <v>174.46</v>
      </c>
    </row>
    <row r="245" spans="1:38" ht="13.5">
      <c r="A245" s="32" t="s">
        <v>24</v>
      </c>
      <c r="B245" s="75">
        <v>27</v>
      </c>
      <c r="C245" s="76">
        <v>10.24</v>
      </c>
      <c r="D245" s="75">
        <v>26</v>
      </c>
      <c r="E245" s="76">
        <v>52.2</v>
      </c>
      <c r="F245" s="75">
        <v>10</v>
      </c>
      <c r="G245" s="76">
        <v>49.4</v>
      </c>
      <c r="H245" s="75">
        <v>23</v>
      </c>
      <c r="I245" s="76">
        <v>592.5</v>
      </c>
      <c r="J245" s="75">
        <v>14</v>
      </c>
      <c r="K245" s="76">
        <v>241.3</v>
      </c>
      <c r="L245" s="75">
        <v>4</v>
      </c>
      <c r="M245" s="76">
        <v>71.5</v>
      </c>
      <c r="N245" s="75">
        <v>1</v>
      </c>
      <c r="O245" s="76">
        <v>31.4</v>
      </c>
      <c r="P245" s="75">
        <v>3</v>
      </c>
      <c r="Q245" s="76">
        <v>308.7</v>
      </c>
      <c r="R245" s="75">
        <v>108</v>
      </c>
      <c r="S245" s="76">
        <v>1357.24</v>
      </c>
      <c r="T245" s="32" t="s">
        <v>24</v>
      </c>
      <c r="U245" s="75">
        <v>25</v>
      </c>
      <c r="V245" s="76">
        <v>9.27</v>
      </c>
      <c r="W245" s="75">
        <v>24</v>
      </c>
      <c r="X245" s="76">
        <v>45.7</v>
      </c>
      <c r="Y245" s="75">
        <v>10</v>
      </c>
      <c r="Z245" s="76">
        <v>44.6</v>
      </c>
      <c r="AA245" s="75">
        <v>23</v>
      </c>
      <c r="AB245" s="76">
        <v>443.3</v>
      </c>
      <c r="AC245" s="75">
        <v>13</v>
      </c>
      <c r="AD245" s="76">
        <v>223.4</v>
      </c>
      <c r="AE245" s="75">
        <v>2</v>
      </c>
      <c r="AF245" s="76">
        <v>22.7</v>
      </c>
      <c r="AG245" s="75">
        <v>1</v>
      </c>
      <c r="AH245" s="76">
        <v>29.3</v>
      </c>
      <c r="AI245" s="75">
        <v>3</v>
      </c>
      <c r="AJ245" s="76">
        <v>164.2</v>
      </c>
      <c r="AK245" s="75">
        <v>101</v>
      </c>
      <c r="AL245" s="76">
        <v>982.47</v>
      </c>
    </row>
    <row r="246" spans="1:38" ht="13.5">
      <c r="A246" s="32"/>
      <c r="B246" s="19"/>
      <c r="C246" s="20"/>
      <c r="D246" s="19"/>
      <c r="E246" s="20"/>
      <c r="F246" s="19"/>
      <c r="G246" s="20"/>
      <c r="H246" s="19"/>
      <c r="I246" s="20"/>
      <c r="J246" s="19"/>
      <c r="K246" s="20"/>
      <c r="L246" s="19"/>
      <c r="M246" s="20"/>
      <c r="N246" s="19"/>
      <c r="O246" s="20"/>
      <c r="P246" s="19"/>
      <c r="Q246" s="20"/>
      <c r="R246" s="19"/>
      <c r="S246" s="20"/>
      <c r="T246" s="32"/>
      <c r="U246" s="19"/>
      <c r="V246" s="20"/>
      <c r="W246" s="19"/>
      <c r="X246" s="20"/>
      <c r="Y246" s="19"/>
      <c r="Z246" s="20"/>
      <c r="AA246" s="19"/>
      <c r="AB246" s="20"/>
      <c r="AC246" s="19"/>
      <c r="AD246" s="20"/>
      <c r="AE246" s="19"/>
      <c r="AF246" s="20"/>
      <c r="AG246" s="19"/>
      <c r="AH246" s="20"/>
      <c r="AI246" s="19"/>
      <c r="AJ246" s="20"/>
      <c r="AK246" s="19"/>
      <c r="AL246" s="20"/>
    </row>
    <row r="247" spans="1:38" ht="13.5">
      <c r="A247" s="32" t="s">
        <v>71</v>
      </c>
      <c r="B247" s="75">
        <v>387</v>
      </c>
      <c r="C247" s="76">
        <v>95.11000000000001</v>
      </c>
      <c r="D247" s="75">
        <v>85</v>
      </c>
      <c r="E247" s="76">
        <v>194.2</v>
      </c>
      <c r="F247" s="75">
        <v>26</v>
      </c>
      <c r="G247" s="76">
        <v>139.7</v>
      </c>
      <c r="H247" s="75">
        <v>25</v>
      </c>
      <c r="I247" s="76">
        <v>462.9</v>
      </c>
      <c r="J247" s="75">
        <v>11</v>
      </c>
      <c r="K247" s="76">
        <v>229.9</v>
      </c>
      <c r="L247" s="75">
        <v>3</v>
      </c>
      <c r="M247" s="76">
        <v>58.5</v>
      </c>
      <c r="N247" s="75">
        <v>2</v>
      </c>
      <c r="O247" s="76">
        <v>289.9</v>
      </c>
      <c r="P247" s="75">
        <v>8</v>
      </c>
      <c r="Q247" s="76">
        <v>656.6</v>
      </c>
      <c r="R247" s="75">
        <v>547</v>
      </c>
      <c r="S247" s="76">
        <v>2126.81</v>
      </c>
      <c r="T247" s="32" t="s">
        <v>71</v>
      </c>
      <c r="U247" s="75">
        <v>325</v>
      </c>
      <c r="V247" s="76">
        <v>76.03999999999999</v>
      </c>
      <c r="W247" s="75">
        <v>69</v>
      </c>
      <c r="X247" s="76">
        <v>132.5</v>
      </c>
      <c r="Y247" s="75">
        <v>24</v>
      </c>
      <c r="Z247" s="76">
        <v>108.3</v>
      </c>
      <c r="AA247" s="75">
        <v>23</v>
      </c>
      <c r="AB247" s="76">
        <v>265.9</v>
      </c>
      <c r="AC247" s="75">
        <v>11</v>
      </c>
      <c r="AD247" s="76">
        <v>199.7</v>
      </c>
      <c r="AE247" s="75">
        <v>2</v>
      </c>
      <c r="AF247" s="76">
        <v>24.7</v>
      </c>
      <c r="AG247" s="75">
        <v>2</v>
      </c>
      <c r="AH247" s="76">
        <v>15.3</v>
      </c>
      <c r="AI247" s="75">
        <v>8</v>
      </c>
      <c r="AJ247" s="76">
        <v>451.1</v>
      </c>
      <c r="AK247" s="75">
        <v>464</v>
      </c>
      <c r="AL247" s="76">
        <v>1273.54</v>
      </c>
    </row>
    <row r="248" spans="1:38" ht="13.5">
      <c r="A248" s="32" t="s">
        <v>22</v>
      </c>
      <c r="B248" s="75">
        <v>285</v>
      </c>
      <c r="C248" s="76">
        <v>65.68</v>
      </c>
      <c r="D248" s="75">
        <v>46</v>
      </c>
      <c r="E248" s="76">
        <v>99.8</v>
      </c>
      <c r="F248" s="75">
        <v>11</v>
      </c>
      <c r="G248" s="76">
        <v>53.4</v>
      </c>
      <c r="H248" s="75">
        <v>11</v>
      </c>
      <c r="I248" s="76">
        <v>184</v>
      </c>
      <c r="J248" s="75">
        <v>6</v>
      </c>
      <c r="K248" s="76">
        <v>133.8</v>
      </c>
      <c r="L248" s="75">
        <v>0</v>
      </c>
      <c r="M248" s="76">
        <v>0</v>
      </c>
      <c r="N248" s="75">
        <v>0</v>
      </c>
      <c r="O248" s="76">
        <v>0</v>
      </c>
      <c r="P248" s="75">
        <v>1</v>
      </c>
      <c r="Q248" s="76">
        <v>71.1</v>
      </c>
      <c r="R248" s="75">
        <v>360</v>
      </c>
      <c r="S248" s="76">
        <v>607.78</v>
      </c>
      <c r="T248" s="32" t="s">
        <v>22</v>
      </c>
      <c r="U248" s="75">
        <v>246</v>
      </c>
      <c r="V248" s="76">
        <v>54.14</v>
      </c>
      <c r="W248" s="75">
        <v>38</v>
      </c>
      <c r="X248" s="76">
        <v>69.8</v>
      </c>
      <c r="Y248" s="75">
        <v>10</v>
      </c>
      <c r="Z248" s="76">
        <v>38.2</v>
      </c>
      <c r="AA248" s="75">
        <v>11</v>
      </c>
      <c r="AB248" s="76">
        <v>137.9</v>
      </c>
      <c r="AC248" s="75">
        <v>6</v>
      </c>
      <c r="AD248" s="76">
        <v>115.5</v>
      </c>
      <c r="AE248" s="75">
        <v>0</v>
      </c>
      <c r="AF248" s="76">
        <v>0</v>
      </c>
      <c r="AG248" s="75">
        <v>0</v>
      </c>
      <c r="AH248" s="76">
        <v>0</v>
      </c>
      <c r="AI248" s="75">
        <v>1</v>
      </c>
      <c r="AJ248" s="76">
        <v>59</v>
      </c>
      <c r="AK248" s="75">
        <v>312</v>
      </c>
      <c r="AL248" s="76">
        <v>474.54</v>
      </c>
    </row>
    <row r="249" spans="1:38" ht="13.5">
      <c r="A249" s="32" t="s">
        <v>23</v>
      </c>
      <c r="B249" s="75">
        <v>70</v>
      </c>
      <c r="C249" s="76">
        <v>19.36</v>
      </c>
      <c r="D249" s="75">
        <v>27</v>
      </c>
      <c r="E249" s="76">
        <v>71.6</v>
      </c>
      <c r="F249" s="75">
        <v>3</v>
      </c>
      <c r="G249" s="76">
        <v>17.9</v>
      </c>
      <c r="H249" s="75">
        <v>2</v>
      </c>
      <c r="I249" s="76">
        <v>27.6</v>
      </c>
      <c r="J249" s="75">
        <v>3</v>
      </c>
      <c r="K249" s="76">
        <v>55.6</v>
      </c>
      <c r="L249" s="75">
        <v>1</v>
      </c>
      <c r="M249" s="76">
        <v>25.1</v>
      </c>
      <c r="N249" s="75">
        <v>0</v>
      </c>
      <c r="O249" s="76">
        <v>0</v>
      </c>
      <c r="P249" s="75">
        <v>0</v>
      </c>
      <c r="Q249" s="76">
        <v>0</v>
      </c>
      <c r="R249" s="75">
        <v>106</v>
      </c>
      <c r="S249" s="76">
        <v>217.16</v>
      </c>
      <c r="T249" s="32" t="s">
        <v>23</v>
      </c>
      <c r="U249" s="75">
        <v>52</v>
      </c>
      <c r="V249" s="76">
        <v>13.46</v>
      </c>
      <c r="W249" s="75">
        <v>21</v>
      </c>
      <c r="X249" s="76">
        <v>46.7</v>
      </c>
      <c r="Y249" s="75">
        <v>2</v>
      </c>
      <c r="Z249" s="76">
        <v>10.3</v>
      </c>
      <c r="AA249" s="75">
        <v>2</v>
      </c>
      <c r="AB249" s="76">
        <v>20.9</v>
      </c>
      <c r="AC249" s="75">
        <v>3</v>
      </c>
      <c r="AD249" s="76">
        <v>50.6</v>
      </c>
      <c r="AE249" s="75">
        <v>0</v>
      </c>
      <c r="AF249" s="76">
        <v>0</v>
      </c>
      <c r="AG249" s="75">
        <v>0</v>
      </c>
      <c r="AH249" s="76">
        <v>0</v>
      </c>
      <c r="AI249" s="75">
        <v>0</v>
      </c>
      <c r="AJ249" s="76">
        <v>0</v>
      </c>
      <c r="AK249" s="75">
        <v>80</v>
      </c>
      <c r="AL249" s="76">
        <v>141.96</v>
      </c>
    </row>
    <row r="250" spans="1:38" ht="13.5">
      <c r="A250" s="32" t="s">
        <v>24</v>
      </c>
      <c r="B250" s="75">
        <v>32</v>
      </c>
      <c r="C250" s="76">
        <v>10.07</v>
      </c>
      <c r="D250" s="75">
        <v>12</v>
      </c>
      <c r="E250" s="76">
        <v>22.8</v>
      </c>
      <c r="F250" s="75">
        <v>12</v>
      </c>
      <c r="G250" s="76">
        <v>68.4</v>
      </c>
      <c r="H250" s="75">
        <v>12</v>
      </c>
      <c r="I250" s="76">
        <v>251.3</v>
      </c>
      <c r="J250" s="75">
        <v>2</v>
      </c>
      <c r="K250" s="76">
        <v>40.5</v>
      </c>
      <c r="L250" s="75">
        <v>2</v>
      </c>
      <c r="M250" s="76">
        <v>33.4</v>
      </c>
      <c r="N250" s="75">
        <v>2</v>
      </c>
      <c r="O250" s="76">
        <v>289.9</v>
      </c>
      <c r="P250" s="75">
        <v>7</v>
      </c>
      <c r="Q250" s="76">
        <v>585.5</v>
      </c>
      <c r="R250" s="75">
        <v>81</v>
      </c>
      <c r="S250" s="76">
        <v>1301.87</v>
      </c>
      <c r="T250" s="32" t="s">
        <v>24</v>
      </c>
      <c r="U250" s="75">
        <v>27</v>
      </c>
      <c r="V250" s="76">
        <v>8.44</v>
      </c>
      <c r="W250" s="75">
        <v>10</v>
      </c>
      <c r="X250" s="76">
        <v>16</v>
      </c>
      <c r="Y250" s="75">
        <v>12</v>
      </c>
      <c r="Z250" s="76">
        <v>59.8</v>
      </c>
      <c r="AA250" s="75">
        <v>10</v>
      </c>
      <c r="AB250" s="76">
        <v>107.1</v>
      </c>
      <c r="AC250" s="75">
        <v>2</v>
      </c>
      <c r="AD250" s="76">
        <v>33.6</v>
      </c>
      <c r="AE250" s="75">
        <v>2</v>
      </c>
      <c r="AF250" s="76">
        <v>24.7</v>
      </c>
      <c r="AG250" s="75">
        <v>2</v>
      </c>
      <c r="AH250" s="76">
        <v>15.3</v>
      </c>
      <c r="AI250" s="75">
        <v>7</v>
      </c>
      <c r="AJ250" s="76">
        <v>392.1</v>
      </c>
      <c r="AK250" s="75">
        <v>72</v>
      </c>
      <c r="AL250" s="76">
        <v>657.04</v>
      </c>
    </row>
    <row r="251" spans="1:38" ht="13.5">
      <c r="A251" s="34"/>
      <c r="B251" s="19"/>
      <c r="C251" s="20"/>
      <c r="D251" s="19"/>
      <c r="E251" s="20"/>
      <c r="F251" s="19"/>
      <c r="G251" s="20"/>
      <c r="H251" s="19"/>
      <c r="I251" s="20"/>
      <c r="J251" s="19"/>
      <c r="K251" s="20"/>
      <c r="L251" s="19"/>
      <c r="M251" s="20"/>
      <c r="N251" s="19"/>
      <c r="O251" s="20"/>
      <c r="P251" s="19"/>
      <c r="Q251" s="20"/>
      <c r="R251" s="19"/>
      <c r="S251" s="20"/>
      <c r="T251" s="34"/>
      <c r="U251" s="19"/>
      <c r="V251" s="20"/>
      <c r="W251" s="19"/>
      <c r="X251" s="20"/>
      <c r="Y251" s="19"/>
      <c r="Z251" s="20"/>
      <c r="AA251" s="19"/>
      <c r="AB251" s="20"/>
      <c r="AC251" s="19"/>
      <c r="AD251" s="20"/>
      <c r="AE251" s="19"/>
      <c r="AF251" s="20"/>
      <c r="AG251" s="19"/>
      <c r="AH251" s="20"/>
      <c r="AI251" s="19"/>
      <c r="AJ251" s="20"/>
      <c r="AK251" s="19"/>
      <c r="AL251" s="20"/>
    </row>
    <row r="252" spans="1:38" ht="9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</sheetData>
  <sheetProtection/>
  <mergeCells count="24">
    <mergeCell ref="A3:A6"/>
    <mergeCell ref="L5:M5"/>
    <mergeCell ref="B4:C5"/>
    <mergeCell ref="D4:E5"/>
    <mergeCell ref="F4:G5"/>
    <mergeCell ref="R4:S5"/>
    <mergeCell ref="U4:V5"/>
    <mergeCell ref="L4:O4"/>
    <mergeCell ref="AC4:AD5"/>
    <mergeCell ref="H4:I5"/>
    <mergeCell ref="J4:K5"/>
    <mergeCell ref="W4:X5"/>
    <mergeCell ref="Y4:Z5"/>
    <mergeCell ref="AA4:AB5"/>
    <mergeCell ref="AE4:AH4"/>
    <mergeCell ref="AI4:AJ5"/>
    <mergeCell ref="AG5:AH5"/>
    <mergeCell ref="AE5:AF5"/>
    <mergeCell ref="U3:AL3"/>
    <mergeCell ref="N5:O5"/>
    <mergeCell ref="T3:T6"/>
    <mergeCell ref="B3:S3"/>
    <mergeCell ref="AK4:AL5"/>
    <mergeCell ref="P4:Q5"/>
  </mergeCells>
  <printOptions/>
  <pageMargins left="0.3937007874015748" right="0.3937007874015748" top="0.6692913385826772" bottom="0.7874015748031497" header="0.3937007874015748" footer="0.3937007874015748"/>
  <pageSetup fitToHeight="0" fitToWidth="4" horizontalDpi="1200" verticalDpi="12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L252"/>
  <sheetViews>
    <sheetView showGridLines="0" view="pageBreakPreview" zoomScale="85" zoomScaleNormal="70" zoomScaleSheetLayoutView="85" zoomScalePageLayoutView="0" workbookViewId="0" topLeftCell="A224">
      <selection activeCell="AF15" sqref="AF15"/>
    </sheetView>
  </sheetViews>
  <sheetFormatPr defaultColWidth="9.59765625" defaultRowHeight="8.25"/>
  <cols>
    <col min="1" max="1" width="30.796875" style="28" customWidth="1"/>
    <col min="2" max="9" width="30.19921875" style="29" customWidth="1"/>
    <col min="10" max="19" width="27.19921875" style="29" customWidth="1"/>
    <col min="20" max="20" width="30.796875" style="28" customWidth="1"/>
    <col min="21" max="28" width="30.19921875" style="29" customWidth="1"/>
    <col min="29" max="38" width="27.19921875" style="29" customWidth="1"/>
    <col min="39" max="39" width="13.19921875" style="21" bestFit="1" customWidth="1"/>
    <col min="40" max="40" width="15.796875" style="21" bestFit="1" customWidth="1"/>
    <col min="41" max="63" width="10" style="21" customWidth="1"/>
    <col min="64" max="16384" width="10" style="22" customWidth="1"/>
  </cols>
  <sheetData>
    <row r="1" spans="1:63" s="5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1" t="s">
        <v>0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s="5" customFormat="1" ht="24" customHeight="1">
      <c r="A2" s="35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6"/>
      <c r="T2" s="35" t="s">
        <v>21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6"/>
      <c r="AL2" s="6" t="s">
        <v>72</v>
      </c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s="8" customFormat="1" ht="24" customHeight="1">
      <c r="A3" s="87" t="s">
        <v>7</v>
      </c>
      <c r="B3" s="86" t="s">
        <v>19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 t="s">
        <v>7</v>
      </c>
      <c r="U3" s="86" t="s">
        <v>20</v>
      </c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78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</row>
    <row r="4" spans="1:63" s="8" customFormat="1" ht="24" customHeight="1">
      <c r="A4" s="88"/>
      <c r="B4" s="81" t="s">
        <v>9</v>
      </c>
      <c r="C4" s="82"/>
      <c r="D4" s="81" t="s">
        <v>10</v>
      </c>
      <c r="E4" s="82"/>
      <c r="F4" s="81" t="s">
        <v>11</v>
      </c>
      <c r="G4" s="82"/>
      <c r="H4" s="81" t="s">
        <v>12</v>
      </c>
      <c r="I4" s="82"/>
      <c r="J4" s="81" t="s">
        <v>13</v>
      </c>
      <c r="K4" s="82"/>
      <c r="L4" s="78" t="s">
        <v>15</v>
      </c>
      <c r="M4" s="79"/>
      <c r="N4" s="79"/>
      <c r="O4" s="80"/>
      <c r="P4" s="81" t="s">
        <v>16</v>
      </c>
      <c r="Q4" s="82"/>
      <c r="R4" s="81" t="s">
        <v>8</v>
      </c>
      <c r="S4" s="82"/>
      <c r="T4" s="88"/>
      <c r="U4" s="81" t="s">
        <v>17</v>
      </c>
      <c r="V4" s="82"/>
      <c r="W4" s="81" t="s">
        <v>18</v>
      </c>
      <c r="X4" s="82"/>
      <c r="Y4" s="81" t="s">
        <v>1</v>
      </c>
      <c r="Z4" s="82"/>
      <c r="AA4" s="81" t="s">
        <v>2</v>
      </c>
      <c r="AB4" s="82"/>
      <c r="AC4" s="81" t="s">
        <v>3</v>
      </c>
      <c r="AD4" s="82"/>
      <c r="AE4" s="78" t="s">
        <v>15</v>
      </c>
      <c r="AF4" s="79"/>
      <c r="AG4" s="79"/>
      <c r="AH4" s="80"/>
      <c r="AI4" s="81" t="s">
        <v>4</v>
      </c>
      <c r="AJ4" s="82"/>
      <c r="AK4" s="81" t="s">
        <v>8</v>
      </c>
      <c r="AL4" s="90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63" s="11" customFormat="1" ht="24" customHeight="1">
      <c r="A5" s="88"/>
      <c r="B5" s="83"/>
      <c r="C5" s="84"/>
      <c r="D5" s="83"/>
      <c r="E5" s="84"/>
      <c r="F5" s="83"/>
      <c r="G5" s="84"/>
      <c r="H5" s="83"/>
      <c r="I5" s="84"/>
      <c r="J5" s="83"/>
      <c r="K5" s="84"/>
      <c r="L5" s="85" t="s">
        <v>14</v>
      </c>
      <c r="M5" s="85"/>
      <c r="N5" s="85" t="s">
        <v>82</v>
      </c>
      <c r="O5" s="85"/>
      <c r="P5" s="83"/>
      <c r="Q5" s="84"/>
      <c r="R5" s="83"/>
      <c r="S5" s="84"/>
      <c r="T5" s="88"/>
      <c r="U5" s="83"/>
      <c r="V5" s="84"/>
      <c r="W5" s="83"/>
      <c r="X5" s="84"/>
      <c r="Y5" s="83"/>
      <c r="Z5" s="84"/>
      <c r="AA5" s="83"/>
      <c r="AB5" s="84"/>
      <c r="AC5" s="83"/>
      <c r="AD5" s="84"/>
      <c r="AE5" s="85" t="s">
        <v>14</v>
      </c>
      <c r="AF5" s="85"/>
      <c r="AG5" s="85" t="s">
        <v>82</v>
      </c>
      <c r="AH5" s="85"/>
      <c r="AI5" s="83"/>
      <c r="AJ5" s="84"/>
      <c r="AK5" s="83"/>
      <c r="AL5" s="91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63" s="11" customFormat="1" ht="24" customHeight="1">
      <c r="A6" s="89"/>
      <c r="B6" s="9" t="s">
        <v>5</v>
      </c>
      <c r="C6" s="12" t="s">
        <v>6</v>
      </c>
      <c r="D6" s="9" t="s">
        <v>5</v>
      </c>
      <c r="E6" s="12" t="s">
        <v>6</v>
      </c>
      <c r="F6" s="9" t="s">
        <v>5</v>
      </c>
      <c r="G6" s="12" t="s">
        <v>6</v>
      </c>
      <c r="H6" s="9" t="s">
        <v>5</v>
      </c>
      <c r="I6" s="12" t="s">
        <v>6</v>
      </c>
      <c r="J6" s="9" t="s">
        <v>5</v>
      </c>
      <c r="K6" s="12" t="s">
        <v>6</v>
      </c>
      <c r="L6" s="9" t="s">
        <v>5</v>
      </c>
      <c r="M6" s="12" t="s">
        <v>6</v>
      </c>
      <c r="N6" s="9" t="s">
        <v>5</v>
      </c>
      <c r="O6" s="12" t="s">
        <v>6</v>
      </c>
      <c r="P6" s="9" t="s">
        <v>5</v>
      </c>
      <c r="Q6" s="12" t="s">
        <v>6</v>
      </c>
      <c r="R6" s="9" t="s">
        <v>5</v>
      </c>
      <c r="S6" s="12" t="s">
        <v>6</v>
      </c>
      <c r="T6" s="89"/>
      <c r="U6" s="9" t="s">
        <v>5</v>
      </c>
      <c r="V6" s="12" t="s">
        <v>6</v>
      </c>
      <c r="W6" s="9" t="s">
        <v>5</v>
      </c>
      <c r="X6" s="12" t="s">
        <v>6</v>
      </c>
      <c r="Y6" s="9" t="s">
        <v>5</v>
      </c>
      <c r="Z6" s="12" t="s">
        <v>6</v>
      </c>
      <c r="AA6" s="9" t="s">
        <v>5</v>
      </c>
      <c r="AB6" s="12" t="s">
        <v>6</v>
      </c>
      <c r="AC6" s="9" t="s">
        <v>5</v>
      </c>
      <c r="AD6" s="12" t="s">
        <v>6</v>
      </c>
      <c r="AE6" s="9" t="s">
        <v>5</v>
      </c>
      <c r="AF6" s="12" t="s">
        <v>6</v>
      </c>
      <c r="AG6" s="9" t="s">
        <v>5</v>
      </c>
      <c r="AH6" s="12" t="s">
        <v>6</v>
      </c>
      <c r="AI6" s="9" t="s">
        <v>5</v>
      </c>
      <c r="AJ6" s="12" t="s">
        <v>6</v>
      </c>
      <c r="AK6" s="9" t="s">
        <v>5</v>
      </c>
      <c r="AL6" s="13" t="s">
        <v>6</v>
      </c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s="11" customFormat="1" ht="13.5">
      <c r="A7" s="3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0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38" s="17" customFormat="1" ht="16.5" customHeight="1">
      <c r="A8" s="31" t="s">
        <v>73</v>
      </c>
      <c r="B8" s="15">
        <f>VLOOKUP($A$8,'集計'!$A$4:$EP$61,6,FALSE)</f>
        <v>31720</v>
      </c>
      <c r="C8" s="16">
        <f>VLOOKUP($A$8,'集計'!$A$4:$EP$61,10,FALSE)</f>
        <v>7800.47</v>
      </c>
      <c r="D8" s="15">
        <f>VLOOKUP($A$8,'集計'!$A$4:$EP$61,14,FALSE)</f>
        <v>4616</v>
      </c>
      <c r="E8" s="16">
        <f>VLOOKUP($A$8,'集計'!$A$4:$EP$61,18,FALSE)</f>
        <v>9081.36</v>
      </c>
      <c r="F8" s="15">
        <f>VLOOKUP($A$8,'集計'!$A$4:$EP$61,22,FALSE)</f>
        <v>1234</v>
      </c>
      <c r="G8" s="16">
        <f>VLOOKUP($A$8,'集計'!$A$4:$EP$61,26,FALSE)</f>
        <v>7088.25</v>
      </c>
      <c r="H8" s="15">
        <f>VLOOKUP($A$8,'集計'!$A$4:$EP$61,30,FALSE)</f>
        <v>1274</v>
      </c>
      <c r="I8" s="16">
        <f>VLOOKUP($A$8,'集計'!$A$4:$EP$61,34,FALSE)</f>
        <v>34947.100000000006</v>
      </c>
      <c r="J8" s="15">
        <f>VLOOKUP($A$8,'集計'!$A$4:$EP$61,38,FALSE)</f>
        <v>626</v>
      </c>
      <c r="K8" s="16">
        <f>VLOOKUP($A$8,'集計'!$A$4:$EP$61,42,FALSE)</f>
        <v>12334.380000000001</v>
      </c>
      <c r="L8" s="15">
        <f>VLOOKUP($A$8,'集計'!$A$4:$EP$61,46,FALSE)</f>
        <v>404</v>
      </c>
      <c r="M8" s="16">
        <f>VLOOKUP($A$8,'集計'!$A$4:$EP$61,50,FALSE)</f>
        <v>10242.4</v>
      </c>
      <c r="N8" s="15">
        <f>VLOOKUP($A$8,'集計'!$A$4:$EP$61,54,FALSE)</f>
        <v>283</v>
      </c>
      <c r="O8" s="16">
        <f>VLOOKUP($A$8,'集計'!$A$4:$EP$61,58,FALSE)</f>
        <v>3577.25</v>
      </c>
      <c r="P8" s="15">
        <f>VLOOKUP($A$8,'集計'!$A$4:$EP$61,62,FALSE)</f>
        <v>212</v>
      </c>
      <c r="Q8" s="16">
        <f>VLOOKUP($A$8,'集計'!$A$4:$EP$61,66,FALSE)</f>
        <v>26392.800000000003</v>
      </c>
      <c r="R8" s="15">
        <f>VLOOKUP($A$8,'集計'!$A$4:$EP$61,70,FALSE)</f>
        <v>40369</v>
      </c>
      <c r="S8" s="16">
        <f>VLOOKUP($A$8,'集計'!$A$4:$EP$61,74,FALSE)</f>
        <v>111464.01000000001</v>
      </c>
      <c r="T8" s="31" t="s">
        <v>107</v>
      </c>
      <c r="U8" s="15">
        <f>VLOOKUP($A$8,'集計'!$A$4:$EP$61,78,FALSE)</f>
        <v>30320</v>
      </c>
      <c r="V8" s="16">
        <f>VLOOKUP($A$8,'集計'!$A$4:$EP$61,82,FALSE)</f>
        <v>7327.419999999999</v>
      </c>
      <c r="W8" s="15">
        <f>VLOOKUP($A$8,'集計'!$A$4:$EP$61,86,FALSE)</f>
        <v>4107</v>
      </c>
      <c r="X8" s="16">
        <f>VLOOKUP($A$8,'集計'!$A$4:$EP$61,90,FALSE)</f>
        <v>7463.789999999999</v>
      </c>
      <c r="Y8" s="15">
        <f>VLOOKUP($A$8,'集計'!$A$4:$EP$61,94,FALSE)</f>
        <v>1145</v>
      </c>
      <c r="Z8" s="16">
        <f>VLOOKUP($A$8,'集計'!$A$4:$EP$61,98,FALSE)</f>
        <v>5904.8</v>
      </c>
      <c r="AA8" s="15">
        <f>VLOOKUP($A$8,'集計'!$A$4:$EP$61,102,FALSE)</f>
        <v>1193</v>
      </c>
      <c r="AB8" s="16">
        <f>VLOOKUP($A$8,'集計'!$A$4:$EP$61,106,FALSE)</f>
        <v>23236.550000000003</v>
      </c>
      <c r="AC8" s="15">
        <f>VLOOKUP($A$8,'集計'!$A$4:$EP$61,110,FALSE)</f>
        <v>597</v>
      </c>
      <c r="AD8" s="16">
        <f>VLOOKUP($A$8,'集計'!$A$4:$EP$61,114,FALSE)</f>
        <v>9802.110000000002</v>
      </c>
      <c r="AE8" s="15">
        <f>VLOOKUP($A$8,'集計'!$A$4:$EP$61,118,FALSE)</f>
        <v>342</v>
      </c>
      <c r="AF8" s="16">
        <f>VLOOKUP($A$8,'集計'!$A$4:$EP$61,122,FALSE)</f>
        <v>5786.280000000001</v>
      </c>
      <c r="AG8" s="15">
        <f>VLOOKUP($A$8,'集計'!$A$4:$EP$61,126,FALSE)</f>
        <v>253</v>
      </c>
      <c r="AH8" s="16">
        <f>VLOOKUP($A$8,'集計'!$A$4:$EP$61,130,FALSE)</f>
        <v>2022.9099999999999</v>
      </c>
      <c r="AI8" s="15">
        <f>VLOOKUP($A$8,'集計'!$A$4:$EP$61,134,FALSE)</f>
        <v>207</v>
      </c>
      <c r="AJ8" s="16">
        <f>VLOOKUP($A$8,'集計'!$A$4:$EP$61,138,FALSE)</f>
        <v>15709.6</v>
      </c>
      <c r="AK8" s="15">
        <f>VLOOKUP($A$8,'集計'!$A$4:$EP$61,142,FALSE)</f>
        <v>38164</v>
      </c>
      <c r="AL8" s="16">
        <f>VLOOKUP($A$8,'集計'!$A$4:$EP$61,146,FALSE)</f>
        <v>77253.45999999999</v>
      </c>
    </row>
    <row r="9" spans="1:38" s="17" customFormat="1" ht="16.5" customHeight="1">
      <c r="A9" s="36" t="s">
        <v>22</v>
      </c>
      <c r="B9" s="15">
        <f>VLOOKUP($A$8,'集計'!$A$4:$EP$61,3,FALSE)</f>
        <v>24293</v>
      </c>
      <c r="C9" s="16">
        <f>VLOOKUP($A$8,'集計'!$A$4:$EP$61,7,FALSE)</f>
        <v>5877.78</v>
      </c>
      <c r="D9" s="15">
        <f>VLOOKUP($A$8,'集計'!$A$4:$EP$61,11,FALSE)</f>
        <v>2928</v>
      </c>
      <c r="E9" s="16">
        <f>VLOOKUP($A$8,'集計'!$A$4:$EP$61,15,FALSE)</f>
        <v>5458.4</v>
      </c>
      <c r="F9" s="15">
        <f>VLOOKUP($A$8,'集計'!$A$4:$EP$61,19,FALSE)</f>
        <v>531</v>
      </c>
      <c r="G9" s="16">
        <f>VLOOKUP($A$8,'集計'!$A$4:$EP$61,23,FALSE)</f>
        <v>2865</v>
      </c>
      <c r="H9" s="15">
        <f>VLOOKUP($A$8,'集計'!$A$4:$EP$61,27,FALSE)</f>
        <v>362</v>
      </c>
      <c r="I9" s="16">
        <f>VLOOKUP($A$8,'集計'!$A$4:$EP$61,31,FALSE)</f>
        <v>7727.1</v>
      </c>
      <c r="J9" s="15">
        <f>VLOOKUP($A$8,'集計'!$A$4:$EP$61,35,FALSE)</f>
        <v>202</v>
      </c>
      <c r="K9" s="16">
        <f>VLOOKUP($A$8,'集計'!$A$4:$EP$61,39,FALSE)</f>
        <v>3135.8</v>
      </c>
      <c r="L9" s="15">
        <f>VLOOKUP($A$8,'集計'!$A$4:$EP$61,43,FALSE)</f>
        <v>104</v>
      </c>
      <c r="M9" s="16">
        <f>VLOOKUP($A$8,'集計'!$A$4:$EP$61,47,FALSE)</f>
        <v>1460.5</v>
      </c>
      <c r="N9" s="15">
        <f>VLOOKUP($A$8,'集計'!$A$4:$EP$61,51,FALSE)</f>
        <v>149</v>
      </c>
      <c r="O9" s="16">
        <f>VLOOKUP($A$8,'集計'!$A$4:$EP$61,55,FALSE)</f>
        <v>1119.15</v>
      </c>
      <c r="P9" s="15">
        <f>VLOOKUP($A$8,'集計'!$A$4:$EP$61,59,FALSE)</f>
        <v>22</v>
      </c>
      <c r="Q9" s="16">
        <f>VLOOKUP($A$8,'集計'!$A$4:$EP$61,63,FALSE)</f>
        <v>1873.4</v>
      </c>
      <c r="R9" s="15">
        <f>VLOOKUP($A$8,'集計'!$A$4:$EP$61,67,FALSE)</f>
        <v>28591</v>
      </c>
      <c r="S9" s="16">
        <f>VLOOKUP($A$8,'集計'!$A$4:$EP$61,71,FALSE)</f>
        <v>29517.129999999997</v>
      </c>
      <c r="T9" s="36" t="s">
        <v>22</v>
      </c>
      <c r="U9" s="15">
        <f>VLOOKUP($A$8,'集計'!$A$4:$EP$61,75,FALSE)</f>
        <v>23403</v>
      </c>
      <c r="V9" s="16">
        <f>VLOOKUP($A$8,'集計'!$A$4:$EP$61,79,FALSE)</f>
        <v>5563.650000000001</v>
      </c>
      <c r="W9" s="15">
        <f>VLOOKUP($A$8,'集計'!$A$4:$EP$61,83,FALSE)</f>
        <v>2663</v>
      </c>
      <c r="X9" s="16">
        <f>VLOOKUP($A$8,'集計'!$A$4:$EP$61,87,FALSE)</f>
        <v>4592.89</v>
      </c>
      <c r="Y9" s="15">
        <f>VLOOKUP($A$8,'集計'!$A$4:$EP$61,91,FALSE)</f>
        <v>500</v>
      </c>
      <c r="Z9" s="16">
        <f>VLOOKUP($A$8,'集計'!$A$4:$EP$61,95,FALSE)</f>
        <v>2406.7499999999995</v>
      </c>
      <c r="AA9" s="15">
        <f>VLOOKUP($A$8,'集計'!$A$4:$EP$61,99,FALSE)</f>
        <v>346</v>
      </c>
      <c r="AB9" s="16">
        <f>VLOOKUP($A$8,'集計'!$A$4:$EP$61,103,FALSE)</f>
        <v>5954.66</v>
      </c>
      <c r="AC9" s="15">
        <f>VLOOKUP($A$8,'集計'!$A$4:$EP$61,107,FALSE)</f>
        <v>194</v>
      </c>
      <c r="AD9" s="16">
        <f>VLOOKUP($A$8,'集計'!$A$4:$EP$61,111,FALSE)</f>
        <v>2769.33</v>
      </c>
      <c r="AE9" s="15">
        <f>VLOOKUP($A$8,'集計'!$A$4:$EP$61,115,FALSE)</f>
        <v>92</v>
      </c>
      <c r="AF9" s="16">
        <f>VLOOKUP($A$8,'集計'!$A$4:$EP$61,119,FALSE)</f>
        <v>825.21</v>
      </c>
      <c r="AG9" s="15">
        <f>VLOOKUP($A$8,'集計'!$A$4:$EP$61,123,FALSE)</f>
        <v>133</v>
      </c>
      <c r="AH9" s="16">
        <f>VLOOKUP($A$8,'集計'!$A$4:$EP$61,127,FALSE)</f>
        <v>856.1999999999999</v>
      </c>
      <c r="AI9" s="15">
        <f>VLOOKUP($A$8,'集計'!$A$4:$EP$61,131,FALSE)</f>
        <v>22</v>
      </c>
      <c r="AJ9" s="16">
        <f>VLOOKUP($A$8,'集計'!$A$4:$EP$61,135,FALSE)</f>
        <v>1420.4</v>
      </c>
      <c r="AK9" s="15">
        <f>VLOOKUP($A$8,'集計'!$A$4:$EP$61,139,FALSE)</f>
        <v>27353</v>
      </c>
      <c r="AL9" s="16">
        <f>VLOOKUP($A$8,'集計'!$A$4:$EP$61,143,FALSE)</f>
        <v>24389.09</v>
      </c>
    </row>
    <row r="10" spans="1:38" s="17" customFormat="1" ht="16.5" customHeight="1">
      <c r="A10" s="36" t="s">
        <v>23</v>
      </c>
      <c r="B10" s="15">
        <f>VLOOKUP($A$8,'集計'!$A$4:$EP$61,4,FALSE)</f>
        <v>6020</v>
      </c>
      <c r="C10" s="16">
        <f>VLOOKUP($A$8,'集計'!$A$4:$EP$61,8,FALSE)</f>
        <v>1530.58</v>
      </c>
      <c r="D10" s="15">
        <f>VLOOKUP($A$8,'集計'!$A$4:$EP$61,(12),FALSE)</f>
        <v>1184</v>
      </c>
      <c r="E10" s="16">
        <f>VLOOKUP($A$8,'集計'!$A$4:$EP$61,16,FALSE)</f>
        <v>2481.4599999999996</v>
      </c>
      <c r="F10" s="15">
        <f>VLOOKUP($A$8,'集計'!$A$4:$EP$61,20,FALSE)</f>
        <v>284</v>
      </c>
      <c r="G10" s="16">
        <f>VLOOKUP($A$8,'集計'!$A$4:$EP$61,24,FALSE)</f>
        <v>1651.9000000000003</v>
      </c>
      <c r="H10" s="15">
        <f>VLOOKUP($A$8,'集計'!$A$4:$EP$61,28,FALSE)</f>
        <v>227</v>
      </c>
      <c r="I10" s="16">
        <f>VLOOKUP($A$8,'集計'!$A$4:$EP$61,32,FALSE)</f>
        <v>5452.8</v>
      </c>
      <c r="J10" s="15">
        <f>VLOOKUP($A$8,'集計'!$A$4:$EP$61,36,FALSE)</f>
        <v>99</v>
      </c>
      <c r="K10" s="16">
        <f>VLOOKUP($A$8,'集計'!$A$4:$EP$61,40,FALSE)</f>
        <v>1909.6999999999998</v>
      </c>
      <c r="L10" s="15">
        <f>VLOOKUP($A$8,'集計'!$A$4:$EP$61,44,FALSE)</f>
        <v>52</v>
      </c>
      <c r="M10" s="16">
        <f>VLOOKUP($A$8,'集計'!$A$4:$EP$61,48,FALSE)</f>
        <v>852.6999999999999</v>
      </c>
      <c r="N10" s="15">
        <f>VLOOKUP($A$8,'集計'!$A$4:$EP$61,52,FALSE)</f>
        <v>40</v>
      </c>
      <c r="O10" s="16">
        <f>VLOOKUP($A$8,'集計'!$A$4:$EP$61,56,FALSE)</f>
        <v>151.39999999999998</v>
      </c>
      <c r="P10" s="15">
        <f>VLOOKUP($A$8,'集計'!$A$4:$EP$61,60,FALSE)</f>
        <v>11</v>
      </c>
      <c r="Q10" s="16">
        <f>VLOOKUP($A$8,'集計'!$A$4:$EP$61,64,FALSE)</f>
        <v>1023.1999999999999</v>
      </c>
      <c r="R10" s="15">
        <f>VLOOKUP($A$8,'集計'!$A$4:$EP$61,68,FALSE)</f>
        <v>7917</v>
      </c>
      <c r="S10" s="16">
        <f>VLOOKUP($A$8,'集計'!$A$4:$EP$61,72,FALSE)</f>
        <v>15053.74</v>
      </c>
      <c r="T10" s="36" t="s">
        <v>23</v>
      </c>
      <c r="U10" s="15">
        <f>VLOOKUP($A$8,'集計'!$A$4:$EP$61,76,FALSE)</f>
        <v>5577</v>
      </c>
      <c r="V10" s="16">
        <f>VLOOKUP($A$8,'集計'!$A$4:$EP$61,80,FALSE)</f>
        <v>1398.8</v>
      </c>
      <c r="W10" s="15">
        <f>VLOOKUP($A$8,'集計'!$A$4:$EP$61,84,FALSE)</f>
        <v>1018</v>
      </c>
      <c r="X10" s="16">
        <f>VLOOKUP($A$8,'集計'!$A$4:$EP$61,88,FALSE)</f>
        <v>2016.26</v>
      </c>
      <c r="Y10" s="15">
        <f>VLOOKUP($A$8,'集計'!$A$4:$EP$61,92,FALSE)</f>
        <v>261</v>
      </c>
      <c r="Z10" s="16">
        <f>VLOOKUP($A$8,'集計'!$A$4:$EP$61,96,FALSE)</f>
        <v>1358.01</v>
      </c>
      <c r="AA10" s="15">
        <f>VLOOKUP($A$8,'集計'!$A$4:$EP$61,100,FALSE)</f>
        <v>209</v>
      </c>
      <c r="AB10" s="16">
        <f>VLOOKUP($A$8,'集計'!$A$4:$EP$61,104,FALSE)</f>
        <v>3984.3700000000003</v>
      </c>
      <c r="AC10" s="15">
        <f>VLOOKUP($A$8,'集計'!$A$4:$EP$61,108,FALSE)</f>
        <v>92</v>
      </c>
      <c r="AD10" s="16">
        <f>VLOOKUP($A$8,'集計'!$A$4:$EP$61,112,FALSE)</f>
        <v>1525.3000000000002</v>
      </c>
      <c r="AE10" s="15">
        <f>VLOOKUP($A$8,'集計'!$A$4:$EP$61,116,FALSE)</f>
        <v>45</v>
      </c>
      <c r="AF10" s="16">
        <f>VLOOKUP($A$8,'集計'!$A$4:$EP$61,120,FALSE)</f>
        <v>460.6</v>
      </c>
      <c r="AG10" s="15">
        <f>VLOOKUP($A$8,'集計'!$A$4:$EP$61,124,FALSE)</f>
        <v>33</v>
      </c>
      <c r="AH10" s="16">
        <f>VLOOKUP($A$8,'集計'!$A$4:$EP$61,128,FALSE)</f>
        <v>99.60999999999999</v>
      </c>
      <c r="AI10" s="15">
        <f>VLOOKUP($A$8,'集計'!$A$4:$EP$61,132,FALSE)</f>
        <v>11</v>
      </c>
      <c r="AJ10" s="16">
        <f>VLOOKUP($A$8,'集計'!$A$4:$EP$61,136,FALSE)</f>
        <v>777.3</v>
      </c>
      <c r="AK10" s="15">
        <f>VLOOKUP($A$8,'集計'!$A$4:$EP$61,140,FALSE)</f>
        <v>7246</v>
      </c>
      <c r="AL10" s="16">
        <f>VLOOKUP($A$8,'集計'!$A$4:$EP$61,144,FALSE)</f>
        <v>11620.249999999998</v>
      </c>
    </row>
    <row r="11" spans="1:38" s="17" customFormat="1" ht="16.5" customHeight="1">
      <c r="A11" s="36" t="s">
        <v>24</v>
      </c>
      <c r="B11" s="15">
        <f>VLOOKUP($A$8,'集計'!$A$4:$EP$61,5,FALSE)</f>
        <v>1407</v>
      </c>
      <c r="C11" s="16">
        <f>VLOOKUP($A$8,'集計'!$A$4:$EP$61,9,FALSE)</f>
        <v>392.10999999999996</v>
      </c>
      <c r="D11" s="15">
        <f>VLOOKUP($A$8,'集計'!$A$4:$EP$61,13,FALSE)</f>
        <v>504</v>
      </c>
      <c r="E11" s="16">
        <f>VLOOKUP($A$8,'集計'!$A$4:$EP$61,17,FALSE)</f>
        <v>1141.4999999999998</v>
      </c>
      <c r="F11" s="15">
        <f>VLOOKUP($A$8,'集計'!$A$4:$EP$61,21,FALSE)</f>
        <v>419</v>
      </c>
      <c r="G11" s="16">
        <f>VLOOKUP($A$8,'集計'!$A$4:$EP$61,25,FALSE)</f>
        <v>2571.3500000000004</v>
      </c>
      <c r="H11" s="15">
        <f>VLOOKUP($A$8,'集計'!$A$4:$EP$61,29,FALSE)</f>
        <v>685</v>
      </c>
      <c r="I11" s="16">
        <f>VLOOKUP($A$8,'集計'!$A$4:$EP$61,33,FALSE)</f>
        <v>21767.199999999997</v>
      </c>
      <c r="J11" s="15">
        <f>VLOOKUP($A$8,'集計'!$A$4:$EP$61,37,FALSE)</f>
        <v>325</v>
      </c>
      <c r="K11" s="16">
        <f>VLOOKUP($A$8,'集計'!$A$4:$EP$61,41,FALSE)</f>
        <v>7288.88</v>
      </c>
      <c r="L11" s="15">
        <f>VLOOKUP($A$8,'集計'!$A$4:$EP$61,45,FALSE)</f>
        <v>248</v>
      </c>
      <c r="M11" s="16">
        <f>VLOOKUP($A$8,'集計'!$A$4:$EP$61,49,FALSE)</f>
        <v>7929.200000000001</v>
      </c>
      <c r="N11" s="15">
        <f>VLOOKUP($A$8,'集計'!$A$4:$EP$61,53,FALSE)</f>
        <v>94</v>
      </c>
      <c r="O11" s="16">
        <f>VLOOKUP($A$8,'集計'!$A$4:$EP$61,57,FALSE)</f>
        <v>2306.7000000000003</v>
      </c>
      <c r="P11" s="15">
        <f>VLOOKUP($A$8,'集計'!$A$4:$EP$61,61,FALSE)</f>
        <v>179</v>
      </c>
      <c r="Q11" s="16">
        <f>VLOOKUP($A$8,'集計'!$A$4:$EP$61,65,FALSE)</f>
        <v>23496.199999999997</v>
      </c>
      <c r="R11" s="15">
        <f>VLOOKUP($A$8,'集計'!$A$4:$EP$61,69,FALSE)</f>
        <v>3861</v>
      </c>
      <c r="S11" s="16">
        <f>VLOOKUP($A$8,'集計'!$A$4:$EP$61,73,FALSE)</f>
        <v>66893.14</v>
      </c>
      <c r="T11" s="36" t="s">
        <v>24</v>
      </c>
      <c r="U11" s="15">
        <f>VLOOKUP($A$8,'集計'!$A$4:$EP$61,77,FALSE)</f>
        <v>1340</v>
      </c>
      <c r="V11" s="16">
        <f>VLOOKUP($A$8,'集計'!$A$4:$EP$61,81,FALSE)</f>
        <v>364.97</v>
      </c>
      <c r="W11" s="15">
        <f>VLOOKUP($A$8,'集計'!$A$4:$EP$61,85,FALSE)</f>
        <v>426</v>
      </c>
      <c r="X11" s="16">
        <f>VLOOKUP($A$8,'集計'!$A$4:$EP$61,89,FALSE)</f>
        <v>854.64</v>
      </c>
      <c r="Y11" s="15">
        <f>VLOOKUP($A$8,'集計'!$A$4:$EP$61,93,FALSE)</f>
        <v>384</v>
      </c>
      <c r="Z11" s="16">
        <f>VLOOKUP($A$8,'集計'!$A$4:$EP$61,97,FALSE)</f>
        <v>2140.04</v>
      </c>
      <c r="AA11" s="15">
        <f>VLOOKUP($A$8,'集計'!$A$4:$EP$61,101,FALSE)</f>
        <v>638</v>
      </c>
      <c r="AB11" s="16">
        <f>VLOOKUP($A$8,'集計'!$A$4:$EP$61,105,FALSE)</f>
        <v>13297.52</v>
      </c>
      <c r="AC11" s="15">
        <f>VLOOKUP($A$8,'集計'!$A$4:$EP$61,109,FALSE)</f>
        <v>311</v>
      </c>
      <c r="AD11" s="16">
        <f>VLOOKUP($A$8,'集計'!$A$4:$EP$61,113,FALSE)</f>
        <v>5507.4800000000005</v>
      </c>
      <c r="AE11" s="15">
        <f>VLOOKUP($A$8,'集計'!$A$4:$EP$61,117,FALSE)</f>
        <v>205</v>
      </c>
      <c r="AF11" s="16">
        <f>VLOOKUP($A$8,'集計'!$A$4:$EP$61,121,FALSE)</f>
        <v>4500.469999999999</v>
      </c>
      <c r="AG11" s="15">
        <f>VLOOKUP($A$8,'集計'!$A$4:$EP$61,125,FALSE)</f>
        <v>87</v>
      </c>
      <c r="AH11" s="16">
        <f>VLOOKUP($A$8,'集計'!$A$4:$EP$61,129,FALSE)</f>
        <v>1067.1</v>
      </c>
      <c r="AI11" s="15">
        <f>VLOOKUP($A$8,'集計'!$A$4:$EP$61,133,FALSE)</f>
        <v>174</v>
      </c>
      <c r="AJ11" s="16">
        <f>VLOOKUP($A$8,'集計'!$A$4:$EP$61,137,FALSE)</f>
        <v>13511.900000000001</v>
      </c>
      <c r="AK11" s="15">
        <f>VLOOKUP($A$8,'集計'!$A$4:$EP$61,141,FALSE)</f>
        <v>3565</v>
      </c>
      <c r="AL11" s="16">
        <f>VLOOKUP($A$8,'集計'!$A$4:$EP$61,145,FALSE)</f>
        <v>41244.12</v>
      </c>
    </row>
    <row r="12" spans="1:38" s="17" customFormat="1" ht="16.5" customHeight="1">
      <c r="A12" s="3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s="17" customFormat="1" ht="16.5" customHeight="1">
      <c r="A13" s="31" t="s">
        <v>25</v>
      </c>
      <c r="B13" s="15">
        <f>VLOOKUP($A$13,'集計'!$A$4:$EP$61,6,FALSE)</f>
        <v>3318</v>
      </c>
      <c r="C13" s="16">
        <f>VLOOKUP($A$13,'集計'!$A$4:$EP$61,10,FALSE)</f>
        <v>769.91</v>
      </c>
      <c r="D13" s="15">
        <f>VLOOKUP($A$13,'集計'!$A$4:$EP$61,14,FALSE)</f>
        <v>465</v>
      </c>
      <c r="E13" s="16">
        <f>VLOOKUP($A$13,'集計'!$A$4:$EP$61,18,FALSE)</f>
        <v>897.8</v>
      </c>
      <c r="F13" s="15">
        <f>VLOOKUP($A$13,'集計'!$A$4:$EP$61,22,FALSE)</f>
        <v>101</v>
      </c>
      <c r="G13" s="16">
        <f>VLOOKUP($A$13,'集計'!$A$4:$EP$61,26,FALSE)</f>
        <v>549.3</v>
      </c>
      <c r="H13" s="15">
        <f>VLOOKUP($A$13,'集計'!$A$4:$EP$61,30,FALSE)</f>
        <v>97</v>
      </c>
      <c r="I13" s="16">
        <f>VLOOKUP($A$13,'集計'!$A$4:$EP$61,34,FALSE)</f>
        <v>3441.2</v>
      </c>
      <c r="J13" s="15">
        <f>VLOOKUP($A$13,'集計'!$A$4:$EP$61,38,FALSE)</f>
        <v>49</v>
      </c>
      <c r="K13" s="16">
        <f>VLOOKUP($A$13,'集計'!$A$4:$EP$61,42,FALSE)</f>
        <v>1143</v>
      </c>
      <c r="L13" s="15">
        <f>VLOOKUP($A$13,'集計'!$A$4:$EP$61,46,FALSE)</f>
        <v>15</v>
      </c>
      <c r="M13" s="16">
        <f>VLOOKUP($A$13,'集計'!$A$4:$EP$61,50,FALSE)</f>
        <v>595.1</v>
      </c>
      <c r="N13" s="15">
        <f>VLOOKUP($A$13,'集計'!$A$4:$EP$61,54,FALSE)</f>
        <v>11</v>
      </c>
      <c r="O13" s="16">
        <f>VLOOKUP($A$13,'集計'!$A$4:$EP$61,58,FALSE)</f>
        <v>644.3</v>
      </c>
      <c r="P13" s="15">
        <f>VLOOKUP($A$13,'集計'!$A$4:$EP$61,62,FALSE)</f>
        <v>12</v>
      </c>
      <c r="Q13" s="16">
        <f>VLOOKUP($A$13,'集計'!$A$4:$EP$61,66,FALSE)</f>
        <v>1672.2</v>
      </c>
      <c r="R13" s="15">
        <f>VLOOKUP($A$13,'集計'!$A$4:$EP$61,70,FALSE)</f>
        <v>4068</v>
      </c>
      <c r="S13" s="16">
        <f>VLOOKUP($A$13,'集計'!$A$4:$EP$61,74,FALSE)</f>
        <v>9712.81</v>
      </c>
      <c r="T13" s="31" t="s">
        <v>25</v>
      </c>
      <c r="U13" s="15">
        <f>VLOOKUP($A$13,'集計'!$A$4:$EP$61,78,FALSE)</f>
        <v>3234</v>
      </c>
      <c r="V13" s="16">
        <f>VLOOKUP($A$13,'集計'!$A$4:$EP$61,82,FALSE)</f>
        <v>747.86</v>
      </c>
      <c r="W13" s="15">
        <f>VLOOKUP($A$13,'集計'!$A$4:$EP$61,86,FALSE)</f>
        <v>445</v>
      </c>
      <c r="X13" s="16">
        <f>VLOOKUP($A$13,'集計'!$A$4:$EP$61,90,FALSE)</f>
        <v>845.3</v>
      </c>
      <c r="Y13" s="15">
        <f>VLOOKUP($A$13,'集計'!$A$4:$EP$61,94,FALSE)</f>
        <v>96</v>
      </c>
      <c r="Z13" s="16">
        <f>VLOOKUP($A$13,'集計'!$A$4:$EP$61,98,FALSE)</f>
        <v>500.35</v>
      </c>
      <c r="AA13" s="15">
        <f>VLOOKUP($A$13,'集計'!$A$4:$EP$61,102,FALSE)</f>
        <v>91</v>
      </c>
      <c r="AB13" s="16">
        <f>VLOOKUP($A$13,'集計'!$A$4:$EP$61,106,FALSE)</f>
        <v>2826.9</v>
      </c>
      <c r="AC13" s="15">
        <f>VLOOKUP($A$13,'集計'!$A$4:$EP$61,110,FALSE)</f>
        <v>48</v>
      </c>
      <c r="AD13" s="16">
        <f>VLOOKUP($A$13,'集計'!$A$4:$EP$61,114,FALSE)</f>
        <v>932.5</v>
      </c>
      <c r="AE13" s="15">
        <f>VLOOKUP($A$13,'集計'!$A$4:$EP$61,118,FALSE)</f>
        <v>14</v>
      </c>
      <c r="AF13" s="16">
        <f>VLOOKUP($A$13,'集計'!$A$4:$EP$61,122,FALSE)</f>
        <v>566.2</v>
      </c>
      <c r="AG13" s="15">
        <f>VLOOKUP($A$13,'集計'!$A$4:$EP$61,126,FALSE)</f>
        <v>11</v>
      </c>
      <c r="AH13" s="16">
        <f>VLOOKUP($A$13,'集計'!$A$4:$EP$61,130,FALSE)</f>
        <v>170.4</v>
      </c>
      <c r="AI13" s="15">
        <f>VLOOKUP($A$13,'集計'!$A$4:$EP$61,134,FALSE)</f>
        <v>12</v>
      </c>
      <c r="AJ13" s="16">
        <f>VLOOKUP($A$13,'集計'!$A$4:$EP$61,138,FALSE)</f>
        <v>1384.9</v>
      </c>
      <c r="AK13" s="15">
        <f>VLOOKUP($A$13,'集計'!$A$4:$EP$61,142,FALSE)</f>
        <v>3951</v>
      </c>
      <c r="AL13" s="16">
        <f>VLOOKUP($A$13,'集計'!$A$4:$EP$61,146,FALSE)</f>
        <v>7974.41</v>
      </c>
    </row>
    <row r="14" spans="1:38" s="17" customFormat="1" ht="16.5" customHeight="1">
      <c r="A14" s="36" t="s">
        <v>22</v>
      </c>
      <c r="B14" s="15">
        <f>VLOOKUP($A$13,'集計'!$A$4:$EP$61,3,FALSE)</f>
        <v>2570</v>
      </c>
      <c r="C14" s="16">
        <f>VLOOKUP($A$13,'集計'!$A$4:$EP$61,7,FALSE)</f>
        <v>582.67</v>
      </c>
      <c r="D14" s="15">
        <f>VLOOKUP($A$13,'集計'!$A$4:$EP$61,11,FALSE)</f>
        <v>299</v>
      </c>
      <c r="E14" s="16">
        <f>VLOOKUP($A$13,'集計'!$A$4:$EP$61,15,FALSE)</f>
        <v>535.5</v>
      </c>
      <c r="F14" s="15">
        <f>VLOOKUP($A$13,'集計'!$A$4:$EP$61,19,FALSE)</f>
        <v>49</v>
      </c>
      <c r="G14" s="16">
        <f>VLOOKUP($A$13,'集計'!$A$4:$EP$61,23,FALSE)</f>
        <v>276.6</v>
      </c>
      <c r="H14" s="15">
        <f>VLOOKUP($A$13,'集計'!$A$4:$EP$61,27,FALSE)</f>
        <v>26</v>
      </c>
      <c r="I14" s="16">
        <f>VLOOKUP($A$13,'集計'!$A$4:$EP$61,31,FALSE)</f>
        <v>698.1</v>
      </c>
      <c r="J14" s="15">
        <f>VLOOKUP($A$13,'集計'!$A$4:$EP$61,35,FALSE)</f>
        <v>16</v>
      </c>
      <c r="K14" s="16">
        <f>VLOOKUP($A$13,'集計'!$A$4:$EP$61,39,FALSE)</f>
        <v>247.6</v>
      </c>
      <c r="L14" s="15">
        <f>VLOOKUP($A$13,'集計'!$A$4:$EP$61,43,FALSE)</f>
        <v>1</v>
      </c>
      <c r="M14" s="16">
        <f>VLOOKUP($A$13,'集計'!$A$4:$EP$61,47,FALSE)</f>
        <v>0.6</v>
      </c>
      <c r="N14" s="15">
        <f>VLOOKUP($A$13,'集計'!$A$4:$EP$61,51,FALSE)</f>
        <v>2</v>
      </c>
      <c r="O14" s="16">
        <f>VLOOKUP($A$13,'集計'!$A$4:$EP$61,55,FALSE)</f>
        <v>3.6</v>
      </c>
      <c r="P14" s="15">
        <f>VLOOKUP($A$13,'集計'!$A$4:$EP$61,59,FALSE)</f>
        <v>0</v>
      </c>
      <c r="Q14" s="16">
        <f>VLOOKUP($A$13,'集計'!$A$4:$EP$61,63,FALSE)</f>
        <v>16</v>
      </c>
      <c r="R14" s="15">
        <f>VLOOKUP($A$13,'集計'!$A$4:$EP$61,67,FALSE)</f>
        <v>2963</v>
      </c>
      <c r="S14" s="16">
        <f>VLOOKUP($A$13,'集計'!$A$4:$EP$61,71,FALSE)</f>
        <v>2360.67</v>
      </c>
      <c r="T14" s="36" t="s">
        <v>22</v>
      </c>
      <c r="U14" s="15">
        <f>VLOOKUP($A$13,'集計'!$A$4:$EP$61,75,FALSE)</f>
        <v>2539</v>
      </c>
      <c r="V14" s="16">
        <f>VLOOKUP($A$13,'集計'!$A$4:$EP$61,79,FALSE)</f>
        <v>575.63</v>
      </c>
      <c r="W14" s="15">
        <f>VLOOKUP($A$13,'集計'!$A$4:$EP$61,83,FALSE)</f>
        <v>292</v>
      </c>
      <c r="X14" s="16">
        <f>VLOOKUP($A$13,'集計'!$A$4:$EP$61,87,FALSE)</f>
        <v>517.3</v>
      </c>
      <c r="Y14" s="15">
        <f>VLOOKUP($A$13,'集計'!$A$4:$EP$61,91,FALSE)</f>
        <v>49</v>
      </c>
      <c r="Z14" s="16">
        <f>VLOOKUP($A$13,'集計'!$A$4:$EP$61,95,FALSE)</f>
        <v>265.15</v>
      </c>
      <c r="AA14" s="15">
        <f>VLOOKUP($A$13,'集計'!$A$4:$EP$61,99,FALSE)</f>
        <v>26</v>
      </c>
      <c r="AB14" s="16">
        <f>VLOOKUP($A$13,'集計'!$A$4:$EP$61,103,FALSE)</f>
        <v>603.1</v>
      </c>
      <c r="AC14" s="15">
        <f>VLOOKUP($A$13,'集計'!$A$4:$EP$61,107,FALSE)</f>
        <v>16</v>
      </c>
      <c r="AD14" s="16">
        <f>VLOOKUP($A$13,'集計'!$A$4:$EP$61,111,FALSE)</f>
        <v>245.2</v>
      </c>
      <c r="AE14" s="15">
        <f>VLOOKUP($A$13,'集計'!$A$4:$EP$61,115,FALSE)</f>
        <v>1</v>
      </c>
      <c r="AF14" s="16">
        <f>VLOOKUP($A$13,'集計'!$A$4:$EP$61,119,FALSE)</f>
        <v>0.6</v>
      </c>
      <c r="AG14" s="15">
        <f>VLOOKUP($A$13,'集計'!$A$4:$EP$61,123,FALSE)</f>
        <v>2</v>
      </c>
      <c r="AH14" s="16">
        <f>VLOOKUP($A$13,'集計'!$A$4:$EP$61,127,FALSE)</f>
        <v>3.5</v>
      </c>
      <c r="AI14" s="15">
        <f>VLOOKUP($A$13,'集計'!$A$4:$EP$61,131,FALSE)</f>
        <v>0</v>
      </c>
      <c r="AJ14" s="16">
        <f>VLOOKUP($A$13,'集計'!$A$4:$EP$61,135,FALSE)</f>
        <v>16</v>
      </c>
      <c r="AK14" s="15">
        <f>VLOOKUP($A$13,'集計'!$A$4:$EP$61,139,FALSE)</f>
        <v>2925</v>
      </c>
      <c r="AL14" s="16">
        <f>VLOOKUP($A$13,'集計'!$A$4:$EP$61,143,FALSE)</f>
        <v>2226.48</v>
      </c>
    </row>
    <row r="15" spans="1:38" s="17" customFormat="1" ht="16.5" customHeight="1">
      <c r="A15" s="36" t="s">
        <v>23</v>
      </c>
      <c r="B15" s="15">
        <f>VLOOKUP($A$13,'集計'!$A$4:$EP$61,4,FALSE)</f>
        <v>730</v>
      </c>
      <c r="C15" s="16">
        <f>VLOOKUP($A$13,'集計'!$A$4:$EP$61,8,FALSE)</f>
        <v>181.05</v>
      </c>
      <c r="D15" s="15">
        <f>VLOOKUP($A$13,'集計'!$A$4:$EP$61,(12),FALSE)</f>
        <v>151</v>
      </c>
      <c r="E15" s="16">
        <f>VLOOKUP($A$13,'集計'!$A$4:$EP$61,16,FALSE)</f>
        <v>318.4</v>
      </c>
      <c r="F15" s="15">
        <f>VLOOKUP($A$13,'集計'!$A$4:$EP$61,20,FALSE)</f>
        <v>41</v>
      </c>
      <c r="G15" s="16">
        <f>VLOOKUP($A$13,'集計'!$A$4:$EP$61,24,FALSE)</f>
        <v>207.7</v>
      </c>
      <c r="H15" s="15">
        <f>VLOOKUP($A$13,'集計'!$A$4:$EP$61,28,FALSE)</f>
        <v>31</v>
      </c>
      <c r="I15" s="16">
        <f>VLOOKUP($A$13,'集計'!$A$4:$EP$61,32,FALSE)</f>
        <v>730.4</v>
      </c>
      <c r="J15" s="15">
        <f>VLOOKUP($A$13,'集計'!$A$4:$EP$61,36,FALSE)</f>
        <v>11</v>
      </c>
      <c r="K15" s="16">
        <f>VLOOKUP($A$13,'集計'!$A$4:$EP$61,40,FALSE)</f>
        <v>211.4</v>
      </c>
      <c r="L15" s="15">
        <f>VLOOKUP($A$13,'集計'!$A$4:$EP$61,44,FALSE)</f>
        <v>2</v>
      </c>
      <c r="M15" s="16">
        <f>VLOOKUP($A$13,'集計'!$A$4:$EP$61,48,FALSE)</f>
        <v>9.2</v>
      </c>
      <c r="N15" s="15">
        <f>VLOOKUP($A$13,'集計'!$A$4:$EP$61,52,FALSE)</f>
        <v>3</v>
      </c>
      <c r="O15" s="16">
        <f>VLOOKUP($A$13,'集計'!$A$4:$EP$61,56,FALSE)</f>
        <v>21.6</v>
      </c>
      <c r="P15" s="15">
        <f>VLOOKUP($A$13,'集計'!$A$4:$EP$61,60,FALSE)</f>
        <v>1</v>
      </c>
      <c r="Q15" s="16">
        <f>VLOOKUP($A$13,'集計'!$A$4:$EP$61,64,FALSE)</f>
        <v>68.7</v>
      </c>
      <c r="R15" s="15">
        <f>VLOOKUP($A$13,'集計'!$A$4:$EP$61,68,FALSE)</f>
        <v>970</v>
      </c>
      <c r="S15" s="16">
        <f>VLOOKUP($A$13,'集計'!$A$4:$EP$61,72,FALSE)</f>
        <v>1748.45</v>
      </c>
      <c r="T15" s="36" t="s">
        <v>23</v>
      </c>
      <c r="U15" s="15">
        <f>VLOOKUP($A$13,'集計'!$A$4:$EP$61,76,FALSE)</f>
        <v>679</v>
      </c>
      <c r="V15" s="16">
        <f>VLOOKUP($A$13,'集計'!$A$4:$EP$61,80,FALSE)</f>
        <v>167.41</v>
      </c>
      <c r="W15" s="15">
        <f>VLOOKUP($A$13,'集計'!$A$4:$EP$61,84,FALSE)</f>
        <v>139</v>
      </c>
      <c r="X15" s="16">
        <f>VLOOKUP($A$13,'集計'!$A$4:$EP$61,88,FALSE)</f>
        <v>290.7</v>
      </c>
      <c r="Y15" s="15">
        <f>VLOOKUP($A$13,'集計'!$A$4:$EP$61,92,FALSE)</f>
        <v>36</v>
      </c>
      <c r="Z15" s="16">
        <f>VLOOKUP($A$13,'集計'!$A$4:$EP$61,96,FALSE)</f>
        <v>174.7</v>
      </c>
      <c r="AA15" s="15">
        <f>VLOOKUP($A$13,'集計'!$A$4:$EP$61,100,FALSE)</f>
        <v>30</v>
      </c>
      <c r="AB15" s="16">
        <f>VLOOKUP($A$13,'集計'!$A$4:$EP$61,104,FALSE)</f>
        <v>655.5</v>
      </c>
      <c r="AC15" s="15">
        <f>VLOOKUP($A$13,'集計'!$A$4:$EP$61,108,FALSE)</f>
        <v>12</v>
      </c>
      <c r="AD15" s="16">
        <f>VLOOKUP($A$13,'集計'!$A$4:$EP$61,112,FALSE)</f>
        <v>190.2</v>
      </c>
      <c r="AE15" s="15">
        <f>VLOOKUP($A$13,'集計'!$A$4:$EP$61,116,FALSE)</f>
        <v>2</v>
      </c>
      <c r="AF15" s="16">
        <f>VLOOKUP($A$13,'集計'!$A$4:$EP$61,120,FALSE)</f>
        <v>9.2</v>
      </c>
      <c r="AG15" s="15">
        <f>VLOOKUP($A$13,'集計'!$A$4:$EP$61,124,FALSE)</f>
        <v>3</v>
      </c>
      <c r="AH15" s="16">
        <f>VLOOKUP($A$13,'集計'!$A$4:$EP$61,128,FALSE)</f>
        <v>21.5</v>
      </c>
      <c r="AI15" s="15">
        <f>VLOOKUP($A$13,'集計'!$A$4:$EP$61,132,FALSE)</f>
        <v>1</v>
      </c>
      <c r="AJ15" s="16">
        <f>VLOOKUP($A$13,'集計'!$A$4:$EP$61,136,FALSE)</f>
        <v>68.7</v>
      </c>
      <c r="AK15" s="15">
        <f>VLOOKUP($A$13,'集計'!$A$4:$EP$61,140,FALSE)</f>
        <v>902</v>
      </c>
      <c r="AL15" s="16">
        <f>VLOOKUP($A$13,'集計'!$A$4:$EP$61,144,FALSE)</f>
        <v>1577.91</v>
      </c>
    </row>
    <row r="16" spans="1:38" s="17" customFormat="1" ht="16.5" customHeight="1">
      <c r="A16" s="36" t="s">
        <v>24</v>
      </c>
      <c r="B16" s="15">
        <f>VLOOKUP($A$13,'集計'!$A$4:$EP$61,5,FALSE)</f>
        <v>18</v>
      </c>
      <c r="C16" s="16">
        <f>VLOOKUP($A$13,'集計'!$A$4:$EP$61,9,FALSE)</f>
        <v>6.19</v>
      </c>
      <c r="D16" s="15">
        <f>VLOOKUP($A$13,'集計'!$A$4:$EP$61,13,FALSE)</f>
        <v>15</v>
      </c>
      <c r="E16" s="16">
        <f>VLOOKUP($A$13,'集計'!$A$4:$EP$61,17,FALSE)</f>
        <v>43.9</v>
      </c>
      <c r="F16" s="15">
        <f>VLOOKUP($A$13,'集計'!$A$4:$EP$61,21,FALSE)</f>
        <v>11</v>
      </c>
      <c r="G16" s="16">
        <f>VLOOKUP($A$13,'集計'!$A$4:$EP$61,25,FALSE)</f>
        <v>65</v>
      </c>
      <c r="H16" s="15">
        <f>VLOOKUP($A$13,'集計'!$A$4:$EP$61,29,FALSE)</f>
        <v>40</v>
      </c>
      <c r="I16" s="16">
        <f>VLOOKUP($A$13,'集計'!$A$4:$EP$61,33,FALSE)</f>
        <v>2012.7</v>
      </c>
      <c r="J16" s="15">
        <f>VLOOKUP($A$13,'集計'!$A$4:$EP$61,37,FALSE)</f>
        <v>22</v>
      </c>
      <c r="K16" s="16">
        <f>VLOOKUP($A$13,'集計'!$A$4:$EP$61,41,FALSE)</f>
        <v>684</v>
      </c>
      <c r="L16" s="15">
        <f>VLOOKUP($A$13,'集計'!$A$4:$EP$61,45,FALSE)</f>
        <v>12</v>
      </c>
      <c r="M16" s="16">
        <f>VLOOKUP($A$13,'集計'!$A$4:$EP$61,49,FALSE)</f>
        <v>585.3</v>
      </c>
      <c r="N16" s="15">
        <f>VLOOKUP($A$13,'集計'!$A$4:$EP$61,53,FALSE)</f>
        <v>6</v>
      </c>
      <c r="O16" s="16">
        <f>VLOOKUP($A$13,'集計'!$A$4:$EP$61,57,FALSE)</f>
        <v>619.1</v>
      </c>
      <c r="P16" s="15">
        <f>VLOOKUP($A$13,'集計'!$A$4:$EP$61,61,FALSE)</f>
        <v>11</v>
      </c>
      <c r="Q16" s="16">
        <f>VLOOKUP($A$13,'集計'!$A$4:$EP$61,65,FALSE)</f>
        <v>1587.5</v>
      </c>
      <c r="R16" s="15">
        <f>VLOOKUP($A$13,'集計'!$A$4:$EP$61,69,FALSE)</f>
        <v>135</v>
      </c>
      <c r="S16" s="16">
        <f>VLOOKUP($A$13,'集計'!$A$4:$EP$61,73,FALSE)</f>
        <v>5603.69</v>
      </c>
      <c r="T16" s="36" t="s">
        <v>24</v>
      </c>
      <c r="U16" s="15">
        <f>VLOOKUP($A$13,'集計'!$A$4:$EP$61,77,FALSE)</f>
        <v>16</v>
      </c>
      <c r="V16" s="16">
        <f>VLOOKUP($A$13,'集計'!$A$4:$EP$61,81,FALSE)</f>
        <v>4.82</v>
      </c>
      <c r="W16" s="15">
        <f>VLOOKUP($A$13,'集計'!$A$4:$EP$61,85,FALSE)</f>
        <v>14</v>
      </c>
      <c r="X16" s="16">
        <f>VLOOKUP($A$13,'集計'!$A$4:$EP$61,89,FALSE)</f>
        <v>37.3</v>
      </c>
      <c r="Y16" s="15">
        <f>VLOOKUP($A$13,'集計'!$A$4:$EP$61,93,FALSE)</f>
        <v>11</v>
      </c>
      <c r="Z16" s="16">
        <f>VLOOKUP($A$13,'集計'!$A$4:$EP$61,97,FALSE)</f>
        <v>60.5</v>
      </c>
      <c r="AA16" s="15">
        <f>VLOOKUP($A$13,'集計'!$A$4:$EP$61,101,FALSE)</f>
        <v>35</v>
      </c>
      <c r="AB16" s="16">
        <f>VLOOKUP($A$13,'集計'!$A$4:$EP$61,105,FALSE)</f>
        <v>1568.3</v>
      </c>
      <c r="AC16" s="15">
        <f>VLOOKUP($A$13,'集計'!$A$4:$EP$61,109,FALSE)</f>
        <v>20</v>
      </c>
      <c r="AD16" s="16">
        <f>VLOOKUP($A$13,'集計'!$A$4:$EP$61,113,FALSE)</f>
        <v>497.1</v>
      </c>
      <c r="AE16" s="15">
        <f>VLOOKUP($A$13,'集計'!$A$4:$EP$61,117,FALSE)</f>
        <v>11</v>
      </c>
      <c r="AF16" s="16">
        <f>VLOOKUP($A$13,'集計'!$A$4:$EP$61,121,FALSE)</f>
        <v>556.4</v>
      </c>
      <c r="AG16" s="15">
        <f>VLOOKUP($A$13,'集計'!$A$4:$EP$61,125,FALSE)</f>
        <v>6</v>
      </c>
      <c r="AH16" s="16">
        <f>VLOOKUP($A$13,'集計'!$A$4:$EP$61,129,FALSE)</f>
        <v>145.4</v>
      </c>
      <c r="AI16" s="15">
        <f>VLOOKUP($A$13,'集計'!$A$4:$EP$61,133,FALSE)</f>
        <v>11</v>
      </c>
      <c r="AJ16" s="16">
        <f>VLOOKUP($A$13,'集計'!$A$4:$EP$61,137,FALSE)</f>
        <v>1300.2</v>
      </c>
      <c r="AK16" s="15">
        <f>VLOOKUP($A$13,'集計'!$A$4:$EP$61,141,FALSE)</f>
        <v>124</v>
      </c>
      <c r="AL16" s="16">
        <f>VLOOKUP($A$13,'集計'!$A$4:$EP$61,145,FALSE)</f>
        <v>4170.02</v>
      </c>
    </row>
    <row r="17" spans="1:38" s="18" customFormat="1" ht="16.5" customHeight="1">
      <c r="A17" s="31" t="s">
        <v>74</v>
      </c>
      <c r="B17" s="15">
        <f>VLOOKUP($A$17,'集計'!$A$4:$EP$61,6,FALSE)</f>
        <v>2756</v>
      </c>
      <c r="C17" s="16">
        <f>VLOOKUP($A$17,'集計'!$A$4:$EP$61,10,FALSE)</f>
        <v>720.87</v>
      </c>
      <c r="D17" s="15">
        <f>VLOOKUP($A$17,'集計'!$A$4:$EP$61,14,FALSE)</f>
        <v>346</v>
      </c>
      <c r="E17" s="16">
        <f>VLOOKUP($A$17,'集計'!$A$4:$EP$61,18,FALSE)</f>
        <v>673.55</v>
      </c>
      <c r="F17" s="15">
        <f>VLOOKUP($A$17,'集計'!$A$4:$EP$61,22,FALSE)</f>
        <v>113</v>
      </c>
      <c r="G17" s="16">
        <f>VLOOKUP($A$17,'集計'!$A$4:$EP$61,26,FALSE)</f>
        <v>718.85</v>
      </c>
      <c r="H17" s="15">
        <f>VLOOKUP($A$17,'集計'!$A$4:$EP$61,30,FALSE)</f>
        <v>126</v>
      </c>
      <c r="I17" s="16">
        <f>VLOOKUP($A$17,'集計'!$A$4:$EP$61,34,FALSE)</f>
        <v>3966.2</v>
      </c>
      <c r="J17" s="15">
        <f>VLOOKUP($A$17,'集計'!$A$4:$EP$61,38,FALSE)</f>
        <v>60</v>
      </c>
      <c r="K17" s="16">
        <f>VLOOKUP($A$17,'集計'!$A$4:$EP$61,42,FALSE)</f>
        <v>1318</v>
      </c>
      <c r="L17" s="15">
        <f>VLOOKUP($A$17,'集計'!$A$4:$EP$61,46,FALSE)</f>
        <v>40</v>
      </c>
      <c r="M17" s="16">
        <f>VLOOKUP($A$17,'集計'!$A$4:$EP$61,50,FALSE)</f>
        <v>1750.2</v>
      </c>
      <c r="N17" s="15">
        <f>VLOOKUP($A$17,'集計'!$A$4:$EP$61,54,FALSE)</f>
        <v>21</v>
      </c>
      <c r="O17" s="16">
        <f>VLOOKUP($A$17,'集計'!$A$4:$EP$61,58,FALSE)</f>
        <v>165.93</v>
      </c>
      <c r="P17" s="15">
        <f>VLOOKUP($A$17,'集計'!$A$4:$EP$61,62,FALSE)</f>
        <v>20</v>
      </c>
      <c r="Q17" s="16">
        <f>VLOOKUP($A$17,'集計'!$A$4:$EP$61,66,FALSE)</f>
        <v>4219.6</v>
      </c>
      <c r="R17" s="15">
        <f>VLOOKUP($A$17,'集計'!$A$4:$EP$61,70,FALSE)</f>
        <v>3482</v>
      </c>
      <c r="S17" s="16">
        <f>VLOOKUP($A$17,'集計'!$A$4:$EP$61,74,FALSE)</f>
        <v>13533.2</v>
      </c>
      <c r="T17" s="31" t="s">
        <v>74</v>
      </c>
      <c r="U17" s="15">
        <f>VLOOKUP($A$17,'集計'!$A$4:$EP$61,78,FALSE)</f>
        <v>2572</v>
      </c>
      <c r="V17" s="16">
        <f>VLOOKUP($A$17,'集計'!$A$4:$EP$61,82,FALSE)</f>
        <v>661.12</v>
      </c>
      <c r="W17" s="15">
        <f>VLOOKUP($A$17,'集計'!$A$4:$EP$61,86,FALSE)</f>
        <v>315</v>
      </c>
      <c r="X17" s="16">
        <f>VLOOKUP($A$17,'集計'!$A$4:$EP$61,90,FALSE)</f>
        <v>590.69</v>
      </c>
      <c r="Y17" s="15">
        <f>VLOOKUP($A$17,'集計'!$A$4:$EP$61,94,FALSE)</f>
        <v>106</v>
      </c>
      <c r="Z17" s="16">
        <f>VLOOKUP($A$17,'集計'!$A$4:$EP$61,98,FALSE)</f>
        <v>629.46</v>
      </c>
      <c r="AA17" s="15">
        <f>VLOOKUP($A$17,'集計'!$A$4:$EP$61,102,FALSE)</f>
        <v>122</v>
      </c>
      <c r="AB17" s="16">
        <f>VLOOKUP($A$17,'集計'!$A$4:$EP$61,106,FALSE)</f>
        <v>2753.97</v>
      </c>
      <c r="AC17" s="15">
        <f>VLOOKUP($A$17,'集計'!$A$4:$EP$61,110,FALSE)</f>
        <v>57</v>
      </c>
      <c r="AD17" s="16">
        <f>VLOOKUP($A$17,'集計'!$A$4:$EP$61,114,FALSE)</f>
        <v>975.7</v>
      </c>
      <c r="AE17" s="15">
        <f>VLOOKUP($A$17,'集計'!$A$4:$EP$61,118,FALSE)</f>
        <v>36</v>
      </c>
      <c r="AF17" s="16">
        <f>VLOOKUP($A$17,'集計'!$A$4:$EP$61,122,FALSE)</f>
        <v>768.35</v>
      </c>
      <c r="AG17" s="15">
        <f>VLOOKUP($A$17,'集計'!$A$4:$EP$61,126,FALSE)</f>
        <v>19</v>
      </c>
      <c r="AH17" s="16">
        <f>VLOOKUP($A$17,'集計'!$A$4:$EP$61,130,FALSE)</f>
        <v>90</v>
      </c>
      <c r="AI17" s="15">
        <f>VLOOKUP($A$17,'集計'!$A$4:$EP$61,134,FALSE)</f>
        <v>20</v>
      </c>
      <c r="AJ17" s="16">
        <f>VLOOKUP($A$17,'集計'!$A$4:$EP$61,138,FALSE)</f>
        <v>1825.5</v>
      </c>
      <c r="AK17" s="15">
        <f>VLOOKUP($A$17,'集計'!$A$4:$EP$61,142,FALSE)</f>
        <v>3247</v>
      </c>
      <c r="AL17" s="16">
        <f>VLOOKUP($A$17,'集計'!$A$4:$EP$61,146,FALSE)</f>
        <v>8294.79</v>
      </c>
    </row>
    <row r="18" spans="1:38" s="18" customFormat="1" ht="16.5" customHeight="1">
      <c r="A18" s="36" t="s">
        <v>22</v>
      </c>
      <c r="B18" s="15">
        <f>VLOOKUP($A$17,'集計'!$A$4:$EP$61,3,FALSE)</f>
        <v>1777</v>
      </c>
      <c r="C18" s="16">
        <f>VLOOKUP($A$17,'集計'!$A$4:$EP$61,7,FALSE)</f>
        <v>450.35</v>
      </c>
      <c r="D18" s="15">
        <f>VLOOKUP($A$17,'集計'!$A$4:$EP$61,11,FALSE)</f>
        <v>173</v>
      </c>
      <c r="E18" s="16">
        <f>VLOOKUP($A$17,'集計'!$A$4:$EP$61,15,FALSE)</f>
        <v>316</v>
      </c>
      <c r="F18" s="15">
        <f>VLOOKUP($A$17,'集計'!$A$4:$EP$61,19,FALSE)</f>
        <v>34</v>
      </c>
      <c r="G18" s="16">
        <f>VLOOKUP($A$17,'集計'!$A$4:$EP$61,23,FALSE)</f>
        <v>195.3</v>
      </c>
      <c r="H18" s="15">
        <f>VLOOKUP($A$17,'集計'!$A$4:$EP$61,27,FALSE)</f>
        <v>22</v>
      </c>
      <c r="I18" s="16">
        <f>VLOOKUP($A$17,'集計'!$A$4:$EP$61,31,FALSE)</f>
        <v>412.8</v>
      </c>
      <c r="J18" s="15">
        <f>VLOOKUP($A$17,'集計'!$A$4:$EP$61,35,FALSE)</f>
        <v>13</v>
      </c>
      <c r="K18" s="16">
        <f>VLOOKUP($A$17,'集計'!$A$4:$EP$61,39,FALSE)</f>
        <v>208</v>
      </c>
      <c r="L18" s="15">
        <f>VLOOKUP($A$17,'集計'!$A$4:$EP$61,43,FALSE)</f>
        <v>6</v>
      </c>
      <c r="M18" s="16">
        <f>VLOOKUP($A$17,'集計'!$A$4:$EP$61,47,FALSE)</f>
        <v>118.3</v>
      </c>
      <c r="N18" s="15">
        <f>VLOOKUP($A$17,'集計'!$A$4:$EP$61,51,FALSE)</f>
        <v>9</v>
      </c>
      <c r="O18" s="16">
        <f>VLOOKUP($A$17,'集計'!$A$4:$EP$61,55,FALSE)</f>
        <v>51.73</v>
      </c>
      <c r="P18" s="15">
        <f>VLOOKUP($A$17,'集計'!$A$4:$EP$61,59,FALSE)</f>
        <v>1</v>
      </c>
      <c r="Q18" s="16">
        <f>VLOOKUP($A$17,'集計'!$A$4:$EP$61,63,FALSE)</f>
        <v>74.8</v>
      </c>
      <c r="R18" s="15">
        <f>VLOOKUP($A$17,'集計'!$A$4:$EP$61,67,FALSE)</f>
        <v>2035</v>
      </c>
      <c r="S18" s="16">
        <f>VLOOKUP($A$17,'集計'!$A$4:$EP$61,71,FALSE)</f>
        <v>1827.28</v>
      </c>
      <c r="T18" s="36" t="s">
        <v>22</v>
      </c>
      <c r="U18" s="15">
        <f>VLOOKUP($A$17,'集計'!$A$4:$EP$61,75,FALSE)</f>
        <v>1671</v>
      </c>
      <c r="V18" s="16">
        <f>VLOOKUP($A$17,'集計'!$A$4:$EP$61,79,FALSE)</f>
        <v>415.51</v>
      </c>
      <c r="W18" s="15">
        <f>VLOOKUP($A$17,'集計'!$A$4:$EP$61,83,FALSE)</f>
        <v>160</v>
      </c>
      <c r="X18" s="16">
        <f>VLOOKUP($A$17,'集計'!$A$4:$EP$61,87,FALSE)</f>
        <v>288.54</v>
      </c>
      <c r="Y18" s="15">
        <f>VLOOKUP($A$17,'集計'!$A$4:$EP$61,91,FALSE)</f>
        <v>33</v>
      </c>
      <c r="Z18" s="16">
        <f>VLOOKUP($A$17,'集計'!$A$4:$EP$61,95,FALSE)</f>
        <v>184.8</v>
      </c>
      <c r="AA18" s="15">
        <f>VLOOKUP($A$17,'集計'!$A$4:$EP$61,99,FALSE)</f>
        <v>22</v>
      </c>
      <c r="AB18" s="16">
        <f>VLOOKUP($A$17,'集計'!$A$4:$EP$61,103,FALSE)</f>
        <v>399.84</v>
      </c>
      <c r="AC18" s="15">
        <f>VLOOKUP($A$17,'集計'!$A$4:$EP$61,107,FALSE)</f>
        <v>12</v>
      </c>
      <c r="AD18" s="16">
        <f>VLOOKUP($A$17,'集計'!$A$4:$EP$61,111,FALSE)</f>
        <v>201.4</v>
      </c>
      <c r="AE18" s="15">
        <f>VLOOKUP($A$17,'集計'!$A$4:$EP$61,115,FALSE)</f>
        <v>6</v>
      </c>
      <c r="AF18" s="16">
        <f>VLOOKUP($A$17,'集計'!$A$4:$EP$61,119,FALSE)</f>
        <v>100.9</v>
      </c>
      <c r="AG18" s="15">
        <f>VLOOKUP($A$17,'集計'!$A$4:$EP$61,123,FALSE)</f>
        <v>8</v>
      </c>
      <c r="AH18" s="16">
        <f>VLOOKUP($A$17,'集計'!$A$4:$EP$61,127,FALSE)</f>
        <v>12.5</v>
      </c>
      <c r="AI18" s="15">
        <f>VLOOKUP($A$17,'集計'!$A$4:$EP$61,131,FALSE)</f>
        <v>1</v>
      </c>
      <c r="AJ18" s="16">
        <f>VLOOKUP($A$17,'集計'!$A$4:$EP$61,135,FALSE)</f>
        <v>66</v>
      </c>
      <c r="AK18" s="15">
        <f>VLOOKUP($A$17,'集計'!$A$4:$EP$61,139,FALSE)</f>
        <v>1913</v>
      </c>
      <c r="AL18" s="16">
        <f>VLOOKUP($A$17,'集計'!$A$4:$EP$61,143,FALSE)</f>
        <v>1669.49</v>
      </c>
    </row>
    <row r="19" spans="1:38" s="18" customFormat="1" ht="16.5" customHeight="1">
      <c r="A19" s="36" t="s">
        <v>23</v>
      </c>
      <c r="B19" s="15">
        <f>VLOOKUP($A$17,'集計'!$A$4:$EP$61,4,FALSE)</f>
        <v>859</v>
      </c>
      <c r="C19" s="16">
        <f>VLOOKUP($A$17,'集計'!$A$4:$EP$61,8,FALSE)</f>
        <v>229.55</v>
      </c>
      <c r="D19" s="15">
        <f>VLOOKUP($A$17,'集計'!$A$4:$EP$61,(12),FALSE)</f>
        <v>135</v>
      </c>
      <c r="E19" s="16">
        <f>VLOOKUP($A$17,'集計'!$A$4:$EP$61,16,FALSE)</f>
        <v>269.45</v>
      </c>
      <c r="F19" s="15">
        <f>VLOOKUP($A$17,'集計'!$A$4:$EP$61,20,FALSE)</f>
        <v>30</v>
      </c>
      <c r="G19" s="16">
        <f>VLOOKUP($A$17,'集計'!$A$4:$EP$61,24,FALSE)</f>
        <v>196.2</v>
      </c>
      <c r="H19" s="15">
        <f>VLOOKUP($A$17,'集計'!$A$4:$EP$61,28,FALSE)</f>
        <v>28</v>
      </c>
      <c r="I19" s="16">
        <f>VLOOKUP($A$17,'集計'!$A$4:$EP$61,32,FALSE)</f>
        <v>807.9</v>
      </c>
      <c r="J19" s="15">
        <f>VLOOKUP($A$17,'集計'!$A$4:$EP$61,36,FALSE)</f>
        <v>8</v>
      </c>
      <c r="K19" s="16">
        <f>VLOOKUP($A$17,'集計'!$A$4:$EP$61,40,FALSE)</f>
        <v>139.9</v>
      </c>
      <c r="L19" s="15">
        <f>VLOOKUP($A$17,'集計'!$A$4:$EP$61,44,FALSE)</f>
        <v>4</v>
      </c>
      <c r="M19" s="16">
        <f>VLOOKUP($A$17,'集計'!$A$4:$EP$61,48,FALSE)</f>
        <v>58</v>
      </c>
      <c r="N19" s="15">
        <f>VLOOKUP($A$17,'集計'!$A$4:$EP$61,52,FALSE)</f>
        <v>3</v>
      </c>
      <c r="O19" s="16">
        <f>VLOOKUP($A$17,'集計'!$A$4:$EP$61,56,FALSE)</f>
        <v>14.2</v>
      </c>
      <c r="P19" s="15">
        <f>VLOOKUP($A$17,'集計'!$A$4:$EP$61,60,FALSE)</f>
        <v>1</v>
      </c>
      <c r="Q19" s="16">
        <f>VLOOKUP($A$17,'集計'!$A$4:$EP$61,64,FALSE)</f>
        <v>289.2</v>
      </c>
      <c r="R19" s="15">
        <f>VLOOKUP($A$17,'集計'!$A$4:$EP$61,68,FALSE)</f>
        <v>1068</v>
      </c>
      <c r="S19" s="16">
        <f>VLOOKUP($A$17,'集計'!$A$4:$EP$61,72,FALSE)</f>
        <v>2004.4</v>
      </c>
      <c r="T19" s="36" t="s">
        <v>23</v>
      </c>
      <c r="U19" s="15">
        <f>VLOOKUP($A$17,'集計'!$A$4:$EP$61,76,FALSE)</f>
        <v>790</v>
      </c>
      <c r="V19" s="16">
        <f>VLOOKUP($A$17,'集計'!$A$4:$EP$61,80,FALSE)</f>
        <v>207.61</v>
      </c>
      <c r="W19" s="15">
        <f>VLOOKUP($A$17,'集計'!$A$4:$EP$61,84,FALSE)</f>
        <v>118</v>
      </c>
      <c r="X19" s="16">
        <f>VLOOKUP($A$17,'集計'!$A$4:$EP$61,88,FALSE)</f>
        <v>222.81</v>
      </c>
      <c r="Y19" s="15">
        <f>VLOOKUP($A$17,'集計'!$A$4:$EP$61,92,FALSE)</f>
        <v>27</v>
      </c>
      <c r="Z19" s="16">
        <f>VLOOKUP($A$17,'集計'!$A$4:$EP$61,96,FALSE)</f>
        <v>151.11</v>
      </c>
      <c r="AA19" s="15">
        <f>VLOOKUP($A$17,'集計'!$A$4:$EP$61,100,FALSE)</f>
        <v>27</v>
      </c>
      <c r="AB19" s="16">
        <f>VLOOKUP($A$17,'集計'!$A$4:$EP$61,104,FALSE)</f>
        <v>578.67</v>
      </c>
      <c r="AC19" s="15">
        <f>VLOOKUP($A$17,'集計'!$A$4:$EP$61,108,FALSE)</f>
        <v>8</v>
      </c>
      <c r="AD19" s="16">
        <f>VLOOKUP($A$17,'集計'!$A$4:$EP$61,112,FALSE)</f>
        <v>112.1</v>
      </c>
      <c r="AE19" s="15">
        <f>VLOOKUP($A$17,'集計'!$A$4:$EP$61,116,FALSE)</f>
        <v>4</v>
      </c>
      <c r="AF19" s="16">
        <f>VLOOKUP($A$17,'集計'!$A$4:$EP$61,120,FALSE)</f>
        <v>58</v>
      </c>
      <c r="AG19" s="15">
        <f>VLOOKUP($A$17,'集計'!$A$4:$EP$61,124,FALSE)</f>
        <v>4</v>
      </c>
      <c r="AH19" s="16">
        <f>VLOOKUP($A$17,'集計'!$A$4:$EP$61,128,FALSE)</f>
        <v>16.5</v>
      </c>
      <c r="AI19" s="15">
        <f>VLOOKUP($A$17,'集計'!$A$4:$EP$61,132,FALSE)</f>
        <v>1</v>
      </c>
      <c r="AJ19" s="16">
        <f>VLOOKUP($A$17,'集計'!$A$4:$EP$61,136,FALSE)</f>
        <v>249.9</v>
      </c>
      <c r="AK19" s="15">
        <f>VLOOKUP($A$17,'集計'!$A$4:$EP$61,140,FALSE)</f>
        <v>979</v>
      </c>
      <c r="AL19" s="16">
        <f>VLOOKUP($A$17,'集計'!$A$4:$EP$61,144,FALSE)</f>
        <v>1596.7</v>
      </c>
    </row>
    <row r="20" spans="1:38" s="18" customFormat="1" ht="16.5" customHeight="1">
      <c r="A20" s="36" t="s">
        <v>24</v>
      </c>
      <c r="B20" s="15">
        <f>VLOOKUP($A$17,'集計'!$A$4:$EP$61,5,FALSE)</f>
        <v>120</v>
      </c>
      <c r="C20" s="16">
        <f>VLOOKUP($A$17,'集計'!$A$4:$EP$61,9,FALSE)</f>
        <v>40.97</v>
      </c>
      <c r="D20" s="15">
        <f>VLOOKUP($A$17,'集計'!$A$4:$EP$61,13,FALSE)</f>
        <v>38</v>
      </c>
      <c r="E20" s="16">
        <f>VLOOKUP($A$17,'集計'!$A$4:$EP$61,17,FALSE)</f>
        <v>88.1</v>
      </c>
      <c r="F20" s="15">
        <f>VLOOKUP($A$17,'集計'!$A$4:$EP$61,21,FALSE)</f>
        <v>49</v>
      </c>
      <c r="G20" s="16">
        <f>VLOOKUP($A$17,'集計'!$A$4:$EP$61,25,FALSE)</f>
        <v>327.35</v>
      </c>
      <c r="H20" s="15">
        <f>VLOOKUP($A$17,'集計'!$A$4:$EP$61,29,FALSE)</f>
        <v>76</v>
      </c>
      <c r="I20" s="16">
        <f>VLOOKUP($A$17,'集計'!$A$4:$EP$61,33,FALSE)</f>
        <v>2745.5</v>
      </c>
      <c r="J20" s="15">
        <f>VLOOKUP($A$17,'集計'!$A$4:$EP$61,37,FALSE)</f>
        <v>39</v>
      </c>
      <c r="K20" s="16">
        <f>VLOOKUP($A$17,'集計'!$A$4:$EP$61,41,FALSE)</f>
        <v>970.1</v>
      </c>
      <c r="L20" s="15">
        <f>VLOOKUP($A$17,'集計'!$A$4:$EP$61,45,FALSE)</f>
        <v>30</v>
      </c>
      <c r="M20" s="16">
        <f>VLOOKUP($A$17,'集計'!$A$4:$EP$61,49,FALSE)</f>
        <v>1573.9</v>
      </c>
      <c r="N20" s="15">
        <f>VLOOKUP($A$17,'集計'!$A$4:$EP$61,53,FALSE)</f>
        <v>9</v>
      </c>
      <c r="O20" s="16">
        <f>VLOOKUP($A$17,'集計'!$A$4:$EP$61,57,FALSE)</f>
        <v>100</v>
      </c>
      <c r="P20" s="15">
        <f>VLOOKUP($A$17,'集計'!$A$4:$EP$61,61,FALSE)</f>
        <v>18</v>
      </c>
      <c r="Q20" s="16">
        <f>VLOOKUP($A$17,'集計'!$A$4:$EP$61,65,FALSE)</f>
        <v>3855.6</v>
      </c>
      <c r="R20" s="15">
        <f>VLOOKUP($A$17,'集計'!$A$4:$EP$61,69,FALSE)</f>
        <v>379</v>
      </c>
      <c r="S20" s="16">
        <f>VLOOKUP($A$17,'集計'!$A$4:$EP$61,73,FALSE)</f>
        <v>9701.52</v>
      </c>
      <c r="T20" s="36" t="s">
        <v>24</v>
      </c>
      <c r="U20" s="15">
        <f>VLOOKUP($A$17,'集計'!$A$4:$EP$61,77,FALSE)</f>
        <v>111</v>
      </c>
      <c r="V20" s="16">
        <f>VLOOKUP($A$17,'集計'!$A$4:$EP$61,81,FALSE)</f>
        <v>38</v>
      </c>
      <c r="W20" s="15">
        <f>VLOOKUP($A$17,'集計'!$A$4:$EP$61,85,FALSE)</f>
        <v>37</v>
      </c>
      <c r="X20" s="16">
        <f>VLOOKUP($A$17,'集計'!$A$4:$EP$61,89,FALSE)</f>
        <v>79.34</v>
      </c>
      <c r="Y20" s="15">
        <f>VLOOKUP($A$17,'集計'!$A$4:$EP$61,93,FALSE)</f>
        <v>46</v>
      </c>
      <c r="Z20" s="16">
        <f>VLOOKUP($A$17,'集計'!$A$4:$EP$61,97,FALSE)</f>
        <v>293.55</v>
      </c>
      <c r="AA20" s="15">
        <f>VLOOKUP($A$17,'集計'!$A$4:$EP$61,101,FALSE)</f>
        <v>73</v>
      </c>
      <c r="AB20" s="16">
        <f>VLOOKUP($A$17,'集計'!$A$4:$EP$61,105,FALSE)</f>
        <v>1775.46</v>
      </c>
      <c r="AC20" s="15">
        <f>VLOOKUP($A$17,'集計'!$A$4:$EP$61,109,FALSE)</f>
        <v>37</v>
      </c>
      <c r="AD20" s="16">
        <f>VLOOKUP($A$17,'集計'!$A$4:$EP$61,113,FALSE)</f>
        <v>662.2</v>
      </c>
      <c r="AE20" s="15">
        <f>VLOOKUP($A$17,'集計'!$A$4:$EP$61,117,FALSE)</f>
        <v>26</v>
      </c>
      <c r="AF20" s="16">
        <f>VLOOKUP($A$17,'集計'!$A$4:$EP$61,121,FALSE)</f>
        <v>609.45</v>
      </c>
      <c r="AG20" s="15">
        <f>VLOOKUP($A$17,'集計'!$A$4:$EP$61,125,FALSE)</f>
        <v>7</v>
      </c>
      <c r="AH20" s="16">
        <f>VLOOKUP($A$17,'集計'!$A$4:$EP$61,129,FALSE)</f>
        <v>61</v>
      </c>
      <c r="AI20" s="15">
        <f>VLOOKUP($A$17,'集計'!$A$4:$EP$61,133,FALSE)</f>
        <v>18</v>
      </c>
      <c r="AJ20" s="16">
        <f>VLOOKUP($A$17,'集計'!$A$4:$EP$61,137,FALSE)</f>
        <v>1509.6</v>
      </c>
      <c r="AK20" s="15">
        <f>VLOOKUP($A$17,'集計'!$A$4:$EP$61,141,FALSE)</f>
        <v>355</v>
      </c>
      <c r="AL20" s="16">
        <f>VLOOKUP($A$17,'集計'!$A$4:$EP$61,145,FALSE)</f>
        <v>5028.6</v>
      </c>
    </row>
    <row r="21" spans="1:38" s="18" customFormat="1" ht="16.5" customHeight="1">
      <c r="A21" s="31" t="s">
        <v>75</v>
      </c>
      <c r="B21" s="15">
        <f>VLOOKUP($A$21,'集計'!$A$4:$EP$61,6,FALSE)</f>
        <v>8750</v>
      </c>
      <c r="C21" s="16">
        <f>VLOOKUP($A$21,'集計'!$A$4:$EP$61,10,FALSE)</f>
        <v>2143.46</v>
      </c>
      <c r="D21" s="15">
        <f>VLOOKUP($A$21,'集計'!$A$4:$EP$61,14,FALSE)</f>
        <v>1298</v>
      </c>
      <c r="E21" s="16">
        <f>VLOOKUP($A$21,'集計'!$A$4:$EP$61,18,FALSE)</f>
        <v>2487.54</v>
      </c>
      <c r="F21" s="15">
        <f>VLOOKUP($A$21,'集計'!$A$4:$EP$61,22,FALSE)</f>
        <v>300</v>
      </c>
      <c r="G21" s="16">
        <f>VLOOKUP($A$21,'集計'!$A$4:$EP$61,26,FALSE)</f>
        <v>1625.4</v>
      </c>
      <c r="H21" s="15">
        <f>VLOOKUP($A$21,'集計'!$A$4:$EP$61,30,FALSE)</f>
        <v>317</v>
      </c>
      <c r="I21" s="16">
        <f>VLOOKUP($A$21,'集計'!$A$4:$EP$61,34,FALSE)</f>
        <v>7087.8</v>
      </c>
      <c r="J21" s="15">
        <f>VLOOKUP($A$21,'集計'!$A$4:$EP$61,38,FALSE)</f>
        <v>171</v>
      </c>
      <c r="K21" s="16">
        <f>VLOOKUP($A$21,'集計'!$A$4:$EP$61,42,FALSE)</f>
        <v>2918.9</v>
      </c>
      <c r="L21" s="15">
        <f>VLOOKUP($A$21,'集計'!$A$4:$EP$61,46,FALSE)</f>
        <v>95</v>
      </c>
      <c r="M21" s="16">
        <f>VLOOKUP($A$21,'集計'!$A$4:$EP$61,50,FALSE)</f>
        <v>2254.2</v>
      </c>
      <c r="N21" s="15">
        <f>VLOOKUP($A$21,'集計'!$A$4:$EP$61,54,FALSE)</f>
        <v>87</v>
      </c>
      <c r="O21" s="16">
        <f>VLOOKUP($A$21,'集計'!$A$4:$EP$61,58,FALSE)</f>
        <v>741</v>
      </c>
      <c r="P21" s="15">
        <f>VLOOKUP($A$21,'集計'!$A$4:$EP$61,62,FALSE)</f>
        <v>65</v>
      </c>
      <c r="Q21" s="16">
        <f>VLOOKUP($A$21,'集計'!$A$4:$EP$61,66,FALSE)</f>
        <v>5564</v>
      </c>
      <c r="R21" s="15">
        <f>VLOOKUP($A$21,'集計'!$A$4:$EP$61,70,FALSE)</f>
        <v>11083</v>
      </c>
      <c r="S21" s="16">
        <f>VLOOKUP($A$21,'集計'!$A$4:$EP$61,74,FALSE)</f>
        <v>24822.3</v>
      </c>
      <c r="T21" s="31" t="s">
        <v>75</v>
      </c>
      <c r="U21" s="15">
        <f>VLOOKUP($A$21,'集計'!$A$4:$EP$61,78,FALSE)</f>
        <v>8384</v>
      </c>
      <c r="V21" s="16">
        <f>VLOOKUP($A$21,'集計'!$A$4:$EP$61,82,FALSE)</f>
        <v>2016.79</v>
      </c>
      <c r="W21" s="15">
        <f>VLOOKUP($A$21,'集計'!$A$4:$EP$61,86,FALSE)</f>
        <v>1194</v>
      </c>
      <c r="X21" s="16">
        <f>VLOOKUP($A$21,'集計'!$A$4:$EP$61,90,FALSE)</f>
        <v>2171.99</v>
      </c>
      <c r="Y21" s="15">
        <f>VLOOKUP($A$21,'集計'!$A$4:$EP$61,94,FALSE)</f>
        <v>291</v>
      </c>
      <c r="Z21" s="16">
        <f>VLOOKUP($A$21,'集計'!$A$4:$EP$61,98,FALSE)</f>
        <v>1467.8</v>
      </c>
      <c r="AA21" s="15">
        <f>VLOOKUP($A$21,'集計'!$A$4:$EP$61,102,FALSE)</f>
        <v>305</v>
      </c>
      <c r="AB21" s="16">
        <f>VLOOKUP($A$21,'集計'!$A$4:$EP$61,106,FALSE)</f>
        <v>5198.22</v>
      </c>
      <c r="AC21" s="15">
        <f>VLOOKUP($A$21,'集計'!$A$4:$EP$61,110,FALSE)</f>
        <v>163</v>
      </c>
      <c r="AD21" s="16">
        <f>VLOOKUP($A$21,'集計'!$A$4:$EP$61,114,FALSE)</f>
        <v>2391.43</v>
      </c>
      <c r="AE21" s="15">
        <f>VLOOKUP($A$21,'集計'!$A$4:$EP$61,118,FALSE)</f>
        <v>81</v>
      </c>
      <c r="AF21" s="16">
        <f>VLOOKUP($A$21,'集計'!$A$4:$EP$61,122,FALSE)</f>
        <v>1404.71</v>
      </c>
      <c r="AG21" s="15">
        <f>VLOOKUP($A$21,'集計'!$A$4:$EP$61,126,FALSE)</f>
        <v>82</v>
      </c>
      <c r="AH21" s="16">
        <f>VLOOKUP($A$21,'集計'!$A$4:$EP$61,130,FALSE)</f>
        <v>564.9</v>
      </c>
      <c r="AI21" s="15">
        <f>VLOOKUP($A$21,'集計'!$A$4:$EP$61,134,FALSE)</f>
        <v>63</v>
      </c>
      <c r="AJ21" s="16">
        <f>VLOOKUP($A$21,'集計'!$A$4:$EP$61,138,FALSE)</f>
        <v>3729.4</v>
      </c>
      <c r="AK21" s="15">
        <f>VLOOKUP($A$21,'集計'!$A$4:$EP$61,142,FALSE)</f>
        <v>10563</v>
      </c>
      <c r="AL21" s="16">
        <f>VLOOKUP($A$21,'集計'!$A$4:$EP$61,146,FALSE)</f>
        <v>18945.24</v>
      </c>
    </row>
    <row r="22" spans="1:38" s="18" customFormat="1" ht="16.5" customHeight="1">
      <c r="A22" s="36" t="s">
        <v>22</v>
      </c>
      <c r="B22" s="15">
        <f>VLOOKUP($A$21,'集計'!$A$4:$EP$61,3,FALSE)</f>
        <v>7205</v>
      </c>
      <c r="C22" s="16">
        <f>VLOOKUP($A$21,'集計'!$A$4:$EP$61,7,FALSE)</f>
        <v>1733.14</v>
      </c>
      <c r="D22" s="15">
        <f>VLOOKUP($A$21,'集計'!$A$4:$EP$61,11,FALSE)</f>
        <v>905</v>
      </c>
      <c r="E22" s="16">
        <f>VLOOKUP($A$21,'集計'!$A$4:$EP$61,15,FALSE)</f>
        <v>1663.9</v>
      </c>
      <c r="F22" s="15">
        <f>VLOOKUP($A$21,'集計'!$A$4:$EP$61,19,FALSE)</f>
        <v>128</v>
      </c>
      <c r="G22" s="16">
        <f>VLOOKUP($A$21,'集計'!$A$4:$EP$61,23,FALSE)</f>
        <v>638.1</v>
      </c>
      <c r="H22" s="15">
        <f>VLOOKUP($A$21,'集計'!$A$4:$EP$61,27,FALSE)</f>
        <v>112</v>
      </c>
      <c r="I22" s="16">
        <f>VLOOKUP($A$21,'集計'!$A$4:$EP$61,31,FALSE)</f>
        <v>2302.4</v>
      </c>
      <c r="J22" s="15">
        <f>VLOOKUP($A$21,'集計'!$A$4:$EP$61,35,FALSE)</f>
        <v>81</v>
      </c>
      <c r="K22" s="16">
        <f>VLOOKUP($A$21,'集計'!$A$4:$EP$61,39,FALSE)</f>
        <v>1158</v>
      </c>
      <c r="L22" s="15">
        <f>VLOOKUP($A$21,'集計'!$A$4:$EP$61,43,FALSE)</f>
        <v>35</v>
      </c>
      <c r="M22" s="16">
        <f>VLOOKUP($A$21,'集計'!$A$4:$EP$61,47,FALSE)</f>
        <v>436.7</v>
      </c>
      <c r="N22" s="15">
        <f>VLOOKUP($A$21,'集計'!$A$4:$EP$61,51,FALSE)</f>
        <v>57</v>
      </c>
      <c r="O22" s="16">
        <f>VLOOKUP($A$21,'集計'!$A$4:$EP$61,55,FALSE)</f>
        <v>499.2</v>
      </c>
      <c r="P22" s="15">
        <f>VLOOKUP($A$21,'集計'!$A$4:$EP$61,59,FALSE)</f>
        <v>12</v>
      </c>
      <c r="Q22" s="16">
        <f>VLOOKUP($A$21,'集計'!$A$4:$EP$61,63,FALSE)</f>
        <v>940.6</v>
      </c>
      <c r="R22" s="15">
        <f>VLOOKUP($A$21,'集計'!$A$4:$EP$61,67,FALSE)</f>
        <v>8535</v>
      </c>
      <c r="S22" s="16">
        <f>VLOOKUP($A$21,'集計'!$A$4:$EP$61,71,FALSE)</f>
        <v>9372.04</v>
      </c>
      <c r="T22" s="36" t="s">
        <v>22</v>
      </c>
      <c r="U22" s="15">
        <f>VLOOKUP($A$21,'集計'!$A$4:$EP$61,75,FALSE)</f>
        <v>6936</v>
      </c>
      <c r="V22" s="16">
        <f>VLOOKUP($A$21,'集計'!$A$4:$EP$61,79,FALSE)</f>
        <v>1641.16</v>
      </c>
      <c r="W22" s="15">
        <f>VLOOKUP($A$21,'集計'!$A$4:$EP$61,83,FALSE)</f>
        <v>835</v>
      </c>
      <c r="X22" s="16">
        <f>VLOOKUP($A$21,'集計'!$A$4:$EP$61,87,FALSE)</f>
        <v>1454.65</v>
      </c>
      <c r="Y22" s="15">
        <f>VLOOKUP($A$21,'集計'!$A$4:$EP$61,91,FALSE)</f>
        <v>124</v>
      </c>
      <c r="Z22" s="16">
        <f>VLOOKUP($A$21,'集計'!$A$4:$EP$61,95,FALSE)</f>
        <v>592.2</v>
      </c>
      <c r="AA22" s="15">
        <f>VLOOKUP($A$21,'集計'!$A$4:$EP$61,99,FALSE)</f>
        <v>108</v>
      </c>
      <c r="AB22" s="16">
        <f>VLOOKUP($A$21,'集計'!$A$4:$EP$61,103,FALSE)</f>
        <v>1764.12</v>
      </c>
      <c r="AC22" s="15">
        <f>VLOOKUP($A$21,'集計'!$A$4:$EP$61,107,FALSE)</f>
        <v>78</v>
      </c>
      <c r="AD22" s="16">
        <f>VLOOKUP($A$21,'集計'!$A$4:$EP$61,111,FALSE)</f>
        <v>979.33</v>
      </c>
      <c r="AE22" s="15">
        <f>VLOOKUP($A$21,'集計'!$A$4:$EP$61,115,FALSE)</f>
        <v>31</v>
      </c>
      <c r="AF22" s="16">
        <f>VLOOKUP($A$21,'集計'!$A$4:$EP$61,119,FALSE)</f>
        <v>232.61</v>
      </c>
      <c r="AG22" s="15">
        <f>VLOOKUP($A$21,'集計'!$A$4:$EP$61,123,FALSE)</f>
        <v>54</v>
      </c>
      <c r="AH22" s="16">
        <f>VLOOKUP($A$21,'集計'!$A$4:$EP$61,127,FALSE)</f>
        <v>398.3</v>
      </c>
      <c r="AI22" s="15">
        <f>VLOOKUP($A$21,'集計'!$A$4:$EP$61,131,FALSE)</f>
        <v>12</v>
      </c>
      <c r="AJ22" s="16">
        <f>VLOOKUP($A$21,'集計'!$A$4:$EP$61,135,FALSE)</f>
        <v>736.1</v>
      </c>
      <c r="AK22" s="15">
        <f>VLOOKUP($A$21,'集計'!$A$4:$EP$61,139,FALSE)</f>
        <v>8178</v>
      </c>
      <c r="AL22" s="16">
        <f>VLOOKUP($A$21,'集計'!$A$4:$EP$61,143,FALSE)</f>
        <v>7798.47</v>
      </c>
    </row>
    <row r="23" spans="1:38" s="18" customFormat="1" ht="16.5" customHeight="1">
      <c r="A23" s="36" t="s">
        <v>23</v>
      </c>
      <c r="B23" s="15">
        <f>VLOOKUP($A$21,'集計'!$A$4:$EP$61,4,FALSE)</f>
        <v>1317</v>
      </c>
      <c r="C23" s="16">
        <f>VLOOKUP($A$21,'集計'!$A$4:$EP$61,8,FALSE)</f>
        <v>350.74</v>
      </c>
      <c r="D23" s="15">
        <f>VLOOKUP($A$21,'集計'!$A$4:$EP$61,(12),FALSE)</f>
        <v>286</v>
      </c>
      <c r="E23" s="16">
        <f>VLOOKUP($A$21,'集計'!$A$4:$EP$61,16,FALSE)</f>
        <v>597.8</v>
      </c>
      <c r="F23" s="15">
        <f>VLOOKUP($A$21,'集計'!$A$4:$EP$61,20,FALSE)</f>
        <v>67</v>
      </c>
      <c r="G23" s="16">
        <f>VLOOKUP($A$21,'集計'!$A$4:$EP$61,24,FALSE)</f>
        <v>390.9</v>
      </c>
      <c r="H23" s="15">
        <f>VLOOKUP($A$21,'集計'!$A$4:$EP$61,28,FALSE)</f>
        <v>40</v>
      </c>
      <c r="I23" s="16">
        <f>VLOOKUP($A$21,'集計'!$A$4:$EP$61,32,FALSE)</f>
        <v>956.1</v>
      </c>
      <c r="J23" s="15">
        <f>VLOOKUP($A$21,'集計'!$A$4:$EP$61,36,FALSE)</f>
        <v>16</v>
      </c>
      <c r="K23" s="16">
        <f>VLOOKUP($A$21,'集計'!$A$4:$EP$61,40,FALSE)</f>
        <v>246.9</v>
      </c>
      <c r="L23" s="15">
        <f>VLOOKUP($A$21,'集計'!$A$4:$EP$61,44,FALSE)</f>
        <v>15</v>
      </c>
      <c r="M23" s="16">
        <f>VLOOKUP($A$21,'集計'!$A$4:$EP$61,48,FALSE)</f>
        <v>301.7</v>
      </c>
      <c r="N23" s="15">
        <f>VLOOKUP($A$21,'集計'!$A$4:$EP$61,52,FALSE)</f>
        <v>12</v>
      </c>
      <c r="O23" s="16">
        <f>VLOOKUP($A$21,'集計'!$A$4:$EP$61,56,FALSE)</f>
        <v>42.9</v>
      </c>
      <c r="P23" s="15">
        <f>VLOOKUP($A$21,'集計'!$A$4:$EP$61,60,FALSE)</f>
        <v>5</v>
      </c>
      <c r="Q23" s="16">
        <f>VLOOKUP($A$21,'集計'!$A$4:$EP$61,64,FALSE)</f>
        <v>552.2</v>
      </c>
      <c r="R23" s="15">
        <f>VLOOKUP($A$21,'集計'!$A$4:$EP$61,68,FALSE)</f>
        <v>1758</v>
      </c>
      <c r="S23" s="16">
        <f>VLOOKUP($A$21,'集計'!$A$4:$EP$61,72,FALSE)</f>
        <v>3439.24</v>
      </c>
      <c r="T23" s="36" t="s">
        <v>23</v>
      </c>
      <c r="U23" s="15">
        <f>VLOOKUP($A$21,'集計'!$A$4:$EP$61,76,FALSE)</f>
        <v>1228</v>
      </c>
      <c r="V23" s="16">
        <f>VLOOKUP($A$21,'集計'!$A$4:$EP$61,80,FALSE)</f>
        <v>320.04</v>
      </c>
      <c r="W23" s="15">
        <f>VLOOKUP($A$21,'集計'!$A$4:$EP$61,84,FALSE)</f>
        <v>260</v>
      </c>
      <c r="X23" s="16">
        <f>VLOOKUP($A$21,'集計'!$A$4:$EP$61,88,FALSE)</f>
        <v>529</v>
      </c>
      <c r="Y23" s="15">
        <f>VLOOKUP($A$21,'集計'!$A$4:$EP$61,92,FALSE)</f>
        <v>64</v>
      </c>
      <c r="Z23" s="16">
        <f>VLOOKUP($A$21,'集計'!$A$4:$EP$61,96,FALSE)</f>
        <v>338.8</v>
      </c>
      <c r="AA23" s="15">
        <f>VLOOKUP($A$21,'集計'!$A$4:$EP$61,100,FALSE)</f>
        <v>38</v>
      </c>
      <c r="AB23" s="16">
        <f>VLOOKUP($A$21,'集計'!$A$4:$EP$61,104,FALSE)</f>
        <v>745.8</v>
      </c>
      <c r="AC23" s="15">
        <f>VLOOKUP($A$21,'集計'!$A$4:$EP$61,108,FALSE)</f>
        <v>13</v>
      </c>
      <c r="AD23" s="16">
        <f>VLOOKUP($A$21,'集計'!$A$4:$EP$61,112,FALSE)</f>
        <v>184</v>
      </c>
      <c r="AE23" s="15">
        <f>VLOOKUP($A$21,'集計'!$A$4:$EP$61,116,FALSE)</f>
        <v>12</v>
      </c>
      <c r="AF23" s="16">
        <f>VLOOKUP($A$21,'集計'!$A$4:$EP$61,120,FALSE)</f>
        <v>205</v>
      </c>
      <c r="AG23" s="15">
        <f>VLOOKUP($A$21,'集計'!$A$4:$EP$61,124,FALSE)</f>
        <v>11</v>
      </c>
      <c r="AH23" s="16">
        <f>VLOOKUP($A$21,'集計'!$A$4:$EP$61,128,FALSE)</f>
        <v>26.5</v>
      </c>
      <c r="AI23" s="15">
        <f>VLOOKUP($A$21,'集計'!$A$4:$EP$61,132,FALSE)</f>
        <v>5</v>
      </c>
      <c r="AJ23" s="16">
        <f>VLOOKUP($A$21,'集計'!$A$4:$EP$61,136,FALSE)</f>
        <v>348.9</v>
      </c>
      <c r="AK23" s="15">
        <f>VLOOKUP($A$21,'集計'!$A$4:$EP$61,140,FALSE)</f>
        <v>1631</v>
      </c>
      <c r="AL23" s="16">
        <f>VLOOKUP($A$21,'集計'!$A$4:$EP$61,144,FALSE)</f>
        <v>2698.04</v>
      </c>
    </row>
    <row r="24" spans="1:38" s="18" customFormat="1" ht="16.5" customHeight="1">
      <c r="A24" s="36" t="s">
        <v>24</v>
      </c>
      <c r="B24" s="15">
        <f>VLOOKUP($A$21,'集計'!$A$4:$EP$61,5,FALSE)</f>
        <v>228</v>
      </c>
      <c r="C24" s="16">
        <f>VLOOKUP($A$21,'集計'!$A$4:$EP$61,9,FALSE)</f>
        <v>59.58</v>
      </c>
      <c r="D24" s="15">
        <f>VLOOKUP($A$21,'集計'!$A$4:$EP$61,13,FALSE)</f>
        <v>107</v>
      </c>
      <c r="E24" s="16">
        <f>VLOOKUP($A$21,'集計'!$A$4:$EP$61,17,FALSE)</f>
        <v>225.84</v>
      </c>
      <c r="F24" s="15">
        <f>VLOOKUP($A$21,'集計'!$A$4:$EP$61,21,FALSE)</f>
        <v>105</v>
      </c>
      <c r="G24" s="16">
        <f>VLOOKUP($A$21,'集計'!$A$4:$EP$61,25,FALSE)</f>
        <v>596.4</v>
      </c>
      <c r="H24" s="15">
        <f>VLOOKUP($A$21,'集計'!$A$4:$EP$61,29,FALSE)</f>
        <v>165</v>
      </c>
      <c r="I24" s="16">
        <f>VLOOKUP($A$21,'集計'!$A$4:$EP$61,33,FALSE)</f>
        <v>3829.3</v>
      </c>
      <c r="J24" s="15">
        <f>VLOOKUP($A$21,'集計'!$A$4:$EP$61,37,FALSE)</f>
        <v>74</v>
      </c>
      <c r="K24" s="16">
        <f>VLOOKUP($A$21,'集計'!$A$4:$EP$61,41,FALSE)</f>
        <v>1514</v>
      </c>
      <c r="L24" s="15">
        <f>VLOOKUP($A$21,'集計'!$A$4:$EP$61,45,FALSE)</f>
        <v>45</v>
      </c>
      <c r="M24" s="16">
        <f>VLOOKUP($A$21,'集計'!$A$4:$EP$61,49,FALSE)</f>
        <v>1515.8</v>
      </c>
      <c r="N24" s="15">
        <f>VLOOKUP($A$21,'集計'!$A$4:$EP$61,53,FALSE)</f>
        <v>18</v>
      </c>
      <c r="O24" s="16">
        <f>VLOOKUP($A$21,'集計'!$A$4:$EP$61,57,FALSE)</f>
        <v>198.9</v>
      </c>
      <c r="P24" s="15">
        <f>VLOOKUP($A$21,'集計'!$A$4:$EP$61,61,FALSE)</f>
        <v>48</v>
      </c>
      <c r="Q24" s="16">
        <f>VLOOKUP($A$21,'集計'!$A$4:$EP$61,65,FALSE)</f>
        <v>4071.2</v>
      </c>
      <c r="R24" s="15">
        <f>VLOOKUP($A$21,'集計'!$A$4:$EP$61,69,FALSE)</f>
        <v>790</v>
      </c>
      <c r="S24" s="16">
        <f>VLOOKUP($A$21,'集計'!$A$4:$EP$61,73,FALSE)</f>
        <v>12011.02</v>
      </c>
      <c r="T24" s="36" t="s">
        <v>24</v>
      </c>
      <c r="U24" s="15">
        <f>VLOOKUP($A$21,'集計'!$A$4:$EP$61,77,FALSE)</f>
        <v>220</v>
      </c>
      <c r="V24" s="16">
        <f>VLOOKUP($A$21,'集計'!$A$4:$EP$61,81,FALSE)</f>
        <v>55.59</v>
      </c>
      <c r="W24" s="15">
        <f>VLOOKUP($A$21,'集計'!$A$4:$EP$61,85,FALSE)</f>
        <v>99</v>
      </c>
      <c r="X24" s="16">
        <f>VLOOKUP($A$21,'集計'!$A$4:$EP$61,89,FALSE)</f>
        <v>188.34</v>
      </c>
      <c r="Y24" s="15">
        <f>VLOOKUP($A$21,'集計'!$A$4:$EP$61,93,FALSE)</f>
        <v>103</v>
      </c>
      <c r="Z24" s="16">
        <f>VLOOKUP($A$21,'集計'!$A$4:$EP$61,97,FALSE)</f>
        <v>536.8</v>
      </c>
      <c r="AA24" s="15">
        <f>VLOOKUP($A$21,'集計'!$A$4:$EP$61,101,FALSE)</f>
        <v>159</v>
      </c>
      <c r="AB24" s="16">
        <f>VLOOKUP($A$21,'集計'!$A$4:$EP$61,105,FALSE)</f>
        <v>2688.3</v>
      </c>
      <c r="AC24" s="15">
        <f>VLOOKUP($A$21,'集計'!$A$4:$EP$61,109,FALSE)</f>
        <v>72</v>
      </c>
      <c r="AD24" s="16">
        <f>VLOOKUP($A$21,'集計'!$A$4:$EP$61,113,FALSE)</f>
        <v>1228.1</v>
      </c>
      <c r="AE24" s="15">
        <f>VLOOKUP($A$21,'集計'!$A$4:$EP$61,117,FALSE)</f>
        <v>38</v>
      </c>
      <c r="AF24" s="16">
        <f>VLOOKUP($A$21,'集計'!$A$4:$EP$61,121,FALSE)</f>
        <v>967.1</v>
      </c>
      <c r="AG24" s="15">
        <f>VLOOKUP($A$21,'集計'!$A$4:$EP$61,125,FALSE)</f>
        <v>17</v>
      </c>
      <c r="AH24" s="16">
        <f>VLOOKUP($A$21,'集計'!$A$4:$EP$61,129,FALSE)</f>
        <v>140.1</v>
      </c>
      <c r="AI24" s="15">
        <f>VLOOKUP($A$21,'集計'!$A$4:$EP$61,133,FALSE)</f>
        <v>46</v>
      </c>
      <c r="AJ24" s="16">
        <f>VLOOKUP($A$21,'集計'!$A$4:$EP$61,137,FALSE)</f>
        <v>2644.4</v>
      </c>
      <c r="AK24" s="15">
        <f>VLOOKUP($A$21,'集計'!$A$4:$EP$61,141,FALSE)</f>
        <v>754</v>
      </c>
      <c r="AL24" s="16">
        <f>VLOOKUP($A$21,'集計'!$A$4:$EP$61,145,FALSE)</f>
        <v>8448.73</v>
      </c>
    </row>
    <row r="25" spans="1:38" s="18" customFormat="1" ht="16.5" customHeight="1">
      <c r="A25" s="31" t="s">
        <v>76</v>
      </c>
      <c r="B25" s="15">
        <f>VLOOKUP($A$25,'集計'!$A$4:$EP$61,6,FALSE)</f>
        <v>1135</v>
      </c>
      <c r="C25" s="16">
        <f>VLOOKUP($A$25,'集計'!$A$4:$EP$61,10,FALSE)</f>
        <v>280.44</v>
      </c>
      <c r="D25" s="15">
        <f>VLOOKUP($A$25,'集計'!$A$4:$EP$61,14,FALSE)</f>
        <v>135</v>
      </c>
      <c r="E25" s="16">
        <f>VLOOKUP($A$25,'集計'!$A$4:$EP$61,18,FALSE)</f>
        <v>234.7</v>
      </c>
      <c r="F25" s="15">
        <f>VLOOKUP($A$25,'集計'!$A$4:$EP$61,22,FALSE)</f>
        <v>54</v>
      </c>
      <c r="G25" s="16">
        <f>VLOOKUP($A$25,'集計'!$A$4:$EP$61,26,FALSE)</f>
        <v>271.5</v>
      </c>
      <c r="H25" s="15">
        <f>VLOOKUP($A$25,'集計'!$A$4:$EP$61,30,FALSE)</f>
        <v>75</v>
      </c>
      <c r="I25" s="16">
        <f>VLOOKUP($A$25,'集計'!$A$4:$EP$61,34,FALSE)</f>
        <v>2580.7</v>
      </c>
      <c r="J25" s="15">
        <f>VLOOKUP($A$25,'集計'!$A$4:$EP$61,38,FALSE)</f>
        <v>47</v>
      </c>
      <c r="K25" s="16">
        <f>VLOOKUP($A$25,'集計'!$A$4:$EP$61,42,FALSE)</f>
        <v>913.2</v>
      </c>
      <c r="L25" s="15">
        <f>VLOOKUP($A$25,'集計'!$A$4:$EP$61,46,FALSE)</f>
        <v>10</v>
      </c>
      <c r="M25" s="16">
        <f>VLOOKUP($A$25,'集計'!$A$4:$EP$61,50,FALSE)</f>
        <v>84.6</v>
      </c>
      <c r="N25" s="15">
        <f>VLOOKUP($A$25,'集計'!$A$4:$EP$61,54,FALSE)</f>
        <v>12</v>
      </c>
      <c r="O25" s="16">
        <f>VLOOKUP($A$25,'集計'!$A$4:$EP$61,58,FALSE)</f>
        <v>106.3</v>
      </c>
      <c r="P25" s="15">
        <f>VLOOKUP($A$25,'集計'!$A$4:$EP$61,62,FALSE)</f>
        <v>15</v>
      </c>
      <c r="Q25" s="16">
        <f>VLOOKUP($A$25,'集計'!$A$4:$EP$61,66,FALSE)</f>
        <v>1483.8</v>
      </c>
      <c r="R25" s="15">
        <f>VLOOKUP($A$25,'集計'!$A$4:$EP$61,70,FALSE)</f>
        <v>1483</v>
      </c>
      <c r="S25" s="16">
        <f>VLOOKUP($A$25,'集計'!$A$4:$EP$61,74,FALSE)</f>
        <v>5955.24</v>
      </c>
      <c r="T25" s="31" t="s">
        <v>76</v>
      </c>
      <c r="U25" s="15">
        <f>VLOOKUP($A$25,'集計'!$A$4:$EP$61,78,FALSE)</f>
        <v>1067</v>
      </c>
      <c r="V25" s="16">
        <f>VLOOKUP($A$25,'集計'!$A$4:$EP$61,82,FALSE)</f>
        <v>262.2</v>
      </c>
      <c r="W25" s="15">
        <f>VLOOKUP($A$25,'集計'!$A$4:$EP$61,86,FALSE)</f>
        <v>118</v>
      </c>
      <c r="X25" s="16">
        <f>VLOOKUP($A$25,'集計'!$A$4:$EP$61,90,FALSE)</f>
        <v>193.9</v>
      </c>
      <c r="Y25" s="15">
        <f>VLOOKUP($A$25,'集計'!$A$4:$EP$61,94,FALSE)</f>
        <v>49</v>
      </c>
      <c r="Z25" s="16">
        <f>VLOOKUP($A$25,'集計'!$A$4:$EP$61,98,FALSE)</f>
        <v>241.2</v>
      </c>
      <c r="AA25" s="15">
        <f>VLOOKUP($A$25,'集計'!$A$4:$EP$61,102,FALSE)</f>
        <v>72</v>
      </c>
      <c r="AB25" s="16">
        <f>VLOOKUP($A$25,'集計'!$A$4:$EP$61,106,FALSE)</f>
        <v>1584.11</v>
      </c>
      <c r="AC25" s="15">
        <f>VLOOKUP($A$25,'集計'!$A$4:$EP$61,110,FALSE)</f>
        <v>47</v>
      </c>
      <c r="AD25" s="16">
        <f>VLOOKUP($A$25,'集計'!$A$4:$EP$61,114,FALSE)</f>
        <v>738.1</v>
      </c>
      <c r="AE25" s="15">
        <f>VLOOKUP($A$25,'集計'!$A$4:$EP$61,118,FALSE)</f>
        <v>8</v>
      </c>
      <c r="AF25" s="16">
        <f>VLOOKUP($A$25,'集計'!$A$4:$EP$61,122,FALSE)</f>
        <v>70.6</v>
      </c>
      <c r="AG25" s="15">
        <f>VLOOKUP($A$25,'集計'!$A$4:$EP$61,126,FALSE)</f>
        <v>10</v>
      </c>
      <c r="AH25" s="16">
        <f>VLOOKUP($A$25,'集計'!$A$4:$EP$61,130,FALSE)</f>
        <v>88.3</v>
      </c>
      <c r="AI25" s="15">
        <f>VLOOKUP($A$25,'集計'!$A$4:$EP$61,134,FALSE)</f>
        <v>15</v>
      </c>
      <c r="AJ25" s="16">
        <f>VLOOKUP($A$25,'集計'!$A$4:$EP$61,138,FALSE)</f>
        <v>790.6</v>
      </c>
      <c r="AK25" s="15">
        <f>VLOOKUP($A$25,'集計'!$A$4:$EP$61,142,FALSE)</f>
        <v>1386</v>
      </c>
      <c r="AL25" s="16">
        <f>VLOOKUP($A$25,'集計'!$A$4:$EP$61,146,FALSE)</f>
        <v>3969.01</v>
      </c>
    </row>
    <row r="26" spans="1:38" s="18" customFormat="1" ht="16.5" customHeight="1">
      <c r="A26" s="36" t="s">
        <v>22</v>
      </c>
      <c r="B26" s="15">
        <f>VLOOKUP($A$25,'集計'!$A$4:$EP$61,3,FALSE)</f>
        <v>782</v>
      </c>
      <c r="C26" s="16">
        <f>VLOOKUP($A$25,'集計'!$A$4:$EP$61,7,FALSE)</f>
        <v>191.06</v>
      </c>
      <c r="D26" s="15">
        <f>VLOOKUP($A$25,'集計'!$A$4:$EP$61,11,FALSE)</f>
        <v>60</v>
      </c>
      <c r="E26" s="16">
        <f>VLOOKUP($A$25,'集計'!$A$4:$EP$61,15,FALSE)</f>
        <v>100.3</v>
      </c>
      <c r="F26" s="15">
        <f>VLOOKUP($A$25,'集計'!$A$4:$EP$61,19,FALSE)</f>
        <v>16</v>
      </c>
      <c r="G26" s="16">
        <f>VLOOKUP($A$25,'集計'!$A$4:$EP$61,23,FALSE)</f>
        <v>79.1</v>
      </c>
      <c r="H26" s="15">
        <f>VLOOKUP($A$25,'集計'!$A$4:$EP$61,27,FALSE)</f>
        <v>12</v>
      </c>
      <c r="I26" s="16">
        <f>VLOOKUP($A$25,'集計'!$A$4:$EP$61,31,FALSE)</f>
        <v>249.2</v>
      </c>
      <c r="J26" s="15">
        <f>VLOOKUP($A$25,'集計'!$A$4:$EP$61,35,FALSE)</f>
        <v>10</v>
      </c>
      <c r="K26" s="16">
        <f>VLOOKUP($A$25,'集計'!$A$4:$EP$61,39,FALSE)</f>
        <v>120.7</v>
      </c>
      <c r="L26" s="15">
        <f>VLOOKUP($A$25,'集計'!$A$4:$EP$61,43,FALSE)</f>
        <v>5</v>
      </c>
      <c r="M26" s="16">
        <f>VLOOKUP($A$25,'集計'!$A$4:$EP$61,47,FALSE)</f>
        <v>34.4</v>
      </c>
      <c r="N26" s="15">
        <f>VLOOKUP($A$25,'集計'!$A$4:$EP$61,51,FALSE)</f>
        <v>4</v>
      </c>
      <c r="O26" s="16">
        <f>VLOOKUP($A$25,'集計'!$A$4:$EP$61,55,FALSE)</f>
        <v>14.1</v>
      </c>
      <c r="P26" s="15">
        <f>VLOOKUP($A$25,'集計'!$A$4:$EP$61,59,FALSE)</f>
        <v>1</v>
      </c>
      <c r="Q26" s="16">
        <f>VLOOKUP($A$25,'集計'!$A$4:$EP$61,63,FALSE)</f>
        <v>287.4</v>
      </c>
      <c r="R26" s="15">
        <f>VLOOKUP($A$25,'集計'!$A$4:$EP$61,67,FALSE)</f>
        <v>890</v>
      </c>
      <c r="S26" s="16">
        <f>VLOOKUP($A$25,'集計'!$A$4:$EP$61,71,FALSE)</f>
        <v>1076.26</v>
      </c>
      <c r="T26" s="36" t="s">
        <v>22</v>
      </c>
      <c r="U26" s="15">
        <f>VLOOKUP($A$25,'集計'!$A$4:$EP$61,75,FALSE)</f>
        <v>750</v>
      </c>
      <c r="V26" s="16">
        <f>VLOOKUP($A$25,'集計'!$A$4:$EP$61,79,FALSE)</f>
        <v>183.04</v>
      </c>
      <c r="W26" s="15">
        <f>VLOOKUP($A$25,'集計'!$A$4:$EP$61,83,FALSE)</f>
        <v>58</v>
      </c>
      <c r="X26" s="16">
        <f>VLOOKUP($A$25,'集計'!$A$4:$EP$61,87,FALSE)</f>
        <v>89.4</v>
      </c>
      <c r="Y26" s="15">
        <f>VLOOKUP($A$25,'集計'!$A$4:$EP$61,91,FALSE)</f>
        <v>16</v>
      </c>
      <c r="Z26" s="16">
        <f>VLOOKUP($A$25,'集計'!$A$4:$EP$61,95,FALSE)</f>
        <v>71.9</v>
      </c>
      <c r="AA26" s="15">
        <f>VLOOKUP($A$25,'集計'!$A$4:$EP$61,99,FALSE)</f>
        <v>13</v>
      </c>
      <c r="AB26" s="16">
        <f>VLOOKUP($A$25,'集計'!$A$4:$EP$61,103,FALSE)</f>
        <v>230.3</v>
      </c>
      <c r="AC26" s="15">
        <f>VLOOKUP($A$25,'集計'!$A$4:$EP$61,107,FALSE)</f>
        <v>10</v>
      </c>
      <c r="AD26" s="16">
        <f>VLOOKUP($A$25,'集計'!$A$4:$EP$61,111,FALSE)</f>
        <v>120.6</v>
      </c>
      <c r="AE26" s="15">
        <f>VLOOKUP($A$25,'集計'!$A$4:$EP$61,115,FALSE)</f>
        <v>4</v>
      </c>
      <c r="AF26" s="16">
        <f>VLOOKUP($A$25,'集計'!$A$4:$EP$61,119,FALSE)</f>
        <v>31.9</v>
      </c>
      <c r="AG26" s="15">
        <f>VLOOKUP($A$25,'集計'!$A$4:$EP$61,123,FALSE)</f>
        <v>4</v>
      </c>
      <c r="AH26" s="16">
        <f>VLOOKUP($A$25,'集計'!$A$4:$EP$61,127,FALSE)</f>
        <v>13.7</v>
      </c>
      <c r="AI26" s="15">
        <f>VLOOKUP($A$25,'集計'!$A$4:$EP$61,131,FALSE)</f>
        <v>1</v>
      </c>
      <c r="AJ26" s="16">
        <f>VLOOKUP($A$25,'集計'!$A$4:$EP$61,135,FALSE)</f>
        <v>86.2</v>
      </c>
      <c r="AK26" s="15">
        <f>VLOOKUP($A$25,'集計'!$A$4:$EP$61,139,FALSE)</f>
        <v>856</v>
      </c>
      <c r="AL26" s="16">
        <f>VLOOKUP($A$25,'集計'!$A$4:$EP$61,143,FALSE)</f>
        <v>827.04</v>
      </c>
    </row>
    <row r="27" spans="1:38" s="18" customFormat="1" ht="16.5" customHeight="1">
      <c r="A27" s="36" t="s">
        <v>23</v>
      </c>
      <c r="B27" s="15">
        <f>VLOOKUP($A$25,'集計'!$A$4:$EP$61,4,FALSE)</f>
        <v>251</v>
      </c>
      <c r="C27" s="16">
        <f>VLOOKUP($A$25,'集計'!$A$4:$EP$61,8,FALSE)</f>
        <v>63.08</v>
      </c>
      <c r="D27" s="15">
        <f>VLOOKUP($A$25,'集計'!$A$4:$EP$61,(12),FALSE)</f>
        <v>53</v>
      </c>
      <c r="E27" s="16">
        <f>VLOOKUP($A$25,'集計'!$A$4:$EP$61,16,FALSE)</f>
        <v>87.5</v>
      </c>
      <c r="F27" s="15">
        <f>VLOOKUP($A$25,'集計'!$A$4:$EP$61,20,FALSE)</f>
        <v>15</v>
      </c>
      <c r="G27" s="16">
        <f>VLOOKUP($A$25,'集計'!$A$4:$EP$61,24,FALSE)</f>
        <v>68.3</v>
      </c>
      <c r="H27" s="15">
        <f>VLOOKUP($A$25,'集計'!$A$4:$EP$61,28,FALSE)</f>
        <v>13</v>
      </c>
      <c r="I27" s="16">
        <f>VLOOKUP($A$25,'集計'!$A$4:$EP$61,32,FALSE)</f>
        <v>315.2</v>
      </c>
      <c r="J27" s="15">
        <f>VLOOKUP($A$25,'集計'!$A$4:$EP$61,36,FALSE)</f>
        <v>3</v>
      </c>
      <c r="K27" s="16">
        <f>VLOOKUP($A$25,'集計'!$A$4:$EP$61,40,FALSE)</f>
        <v>115.7</v>
      </c>
      <c r="L27" s="15">
        <f>VLOOKUP($A$25,'集計'!$A$4:$EP$61,44,FALSE)</f>
        <v>0</v>
      </c>
      <c r="M27" s="16">
        <f>VLOOKUP($A$25,'集計'!$A$4:$EP$61,48,FALSE)</f>
        <v>0</v>
      </c>
      <c r="N27" s="15">
        <f>VLOOKUP($A$25,'集計'!$A$4:$EP$61,52,FALSE)</f>
        <v>4</v>
      </c>
      <c r="O27" s="16">
        <f>VLOOKUP($A$25,'集計'!$A$4:$EP$61,56,FALSE)</f>
        <v>18.1</v>
      </c>
      <c r="P27" s="15">
        <f>VLOOKUP($A$25,'集計'!$A$4:$EP$61,60,FALSE)</f>
        <v>1</v>
      </c>
      <c r="Q27" s="16">
        <f>VLOOKUP($A$25,'集計'!$A$4:$EP$61,64,FALSE)</f>
        <v>50.4</v>
      </c>
      <c r="R27" s="15">
        <f>VLOOKUP($A$25,'集計'!$A$4:$EP$61,68,FALSE)</f>
        <v>340</v>
      </c>
      <c r="S27" s="16">
        <f>VLOOKUP($A$25,'集計'!$A$4:$EP$61,72,FALSE)</f>
        <v>718.28</v>
      </c>
      <c r="T27" s="36" t="s">
        <v>23</v>
      </c>
      <c r="U27" s="15">
        <f>VLOOKUP($A$25,'集計'!$A$4:$EP$61,76,FALSE)</f>
        <v>229</v>
      </c>
      <c r="V27" s="16">
        <f>VLOOKUP($A$25,'集計'!$A$4:$EP$61,80,FALSE)</f>
        <v>57.66</v>
      </c>
      <c r="W27" s="15">
        <f>VLOOKUP($A$25,'集計'!$A$4:$EP$61,84,FALSE)</f>
        <v>42</v>
      </c>
      <c r="X27" s="16">
        <f>VLOOKUP($A$25,'集計'!$A$4:$EP$61,88,FALSE)</f>
        <v>70.6</v>
      </c>
      <c r="Y27" s="15">
        <f>VLOOKUP($A$25,'集計'!$A$4:$EP$61,92,FALSE)</f>
        <v>14</v>
      </c>
      <c r="Z27" s="16">
        <f>VLOOKUP($A$25,'集計'!$A$4:$EP$61,96,FALSE)</f>
        <v>58.7</v>
      </c>
      <c r="AA27" s="15">
        <f>VLOOKUP($A$25,'集計'!$A$4:$EP$61,100,FALSE)</f>
        <v>12</v>
      </c>
      <c r="AB27" s="16">
        <f>VLOOKUP($A$25,'集計'!$A$4:$EP$61,104,FALSE)</f>
        <v>185.5</v>
      </c>
      <c r="AC27" s="15">
        <f>VLOOKUP($A$25,'集計'!$A$4:$EP$61,108,FALSE)</f>
        <v>3</v>
      </c>
      <c r="AD27" s="16">
        <f>VLOOKUP($A$25,'集計'!$A$4:$EP$61,112,FALSE)</f>
        <v>48.6</v>
      </c>
      <c r="AE27" s="15">
        <f>VLOOKUP($A$25,'集計'!$A$4:$EP$61,116,FALSE)</f>
        <v>0</v>
      </c>
      <c r="AF27" s="16">
        <f>VLOOKUP($A$25,'集計'!$A$4:$EP$61,120,FALSE)</f>
        <v>0</v>
      </c>
      <c r="AG27" s="15">
        <f>VLOOKUP($A$25,'集計'!$A$4:$EP$61,124,FALSE)</f>
        <v>2</v>
      </c>
      <c r="AH27" s="16">
        <f>VLOOKUP($A$25,'集計'!$A$4:$EP$61,128,FALSE)</f>
        <v>1</v>
      </c>
      <c r="AI27" s="15">
        <f>VLOOKUP($A$25,'集計'!$A$4:$EP$61,132,FALSE)</f>
        <v>1</v>
      </c>
      <c r="AJ27" s="16">
        <f>VLOOKUP($A$25,'集計'!$A$4:$EP$61,136,FALSE)</f>
        <v>47.1</v>
      </c>
      <c r="AK27" s="15">
        <f>VLOOKUP($A$25,'集計'!$A$4:$EP$61,140,FALSE)</f>
        <v>303</v>
      </c>
      <c r="AL27" s="16">
        <f>VLOOKUP($A$25,'集計'!$A$4:$EP$61,144,FALSE)</f>
        <v>469.16</v>
      </c>
    </row>
    <row r="28" spans="1:38" s="18" customFormat="1" ht="16.5" customHeight="1">
      <c r="A28" s="36" t="s">
        <v>24</v>
      </c>
      <c r="B28" s="15">
        <f>VLOOKUP($A$25,'集計'!$A$4:$EP$61,5,FALSE)</f>
        <v>102</v>
      </c>
      <c r="C28" s="16">
        <f>VLOOKUP($A$25,'集計'!$A$4:$EP$61,9,FALSE)</f>
        <v>26.3</v>
      </c>
      <c r="D28" s="15">
        <f>VLOOKUP($A$25,'集計'!$A$4:$EP$61,13,FALSE)</f>
        <v>22</v>
      </c>
      <c r="E28" s="16">
        <f>VLOOKUP($A$25,'集計'!$A$4:$EP$61,17,FALSE)</f>
        <v>46.9</v>
      </c>
      <c r="F28" s="15">
        <f>VLOOKUP($A$25,'集計'!$A$4:$EP$61,21,FALSE)</f>
        <v>23</v>
      </c>
      <c r="G28" s="16">
        <f>VLOOKUP($A$25,'集計'!$A$4:$EP$61,25,FALSE)</f>
        <v>124.1</v>
      </c>
      <c r="H28" s="15">
        <f>VLOOKUP($A$25,'集計'!$A$4:$EP$61,29,FALSE)</f>
        <v>50</v>
      </c>
      <c r="I28" s="16">
        <f>VLOOKUP($A$25,'集計'!$A$4:$EP$61,33,FALSE)</f>
        <v>2016.3</v>
      </c>
      <c r="J28" s="15">
        <f>VLOOKUP($A$25,'集計'!$A$4:$EP$61,37,FALSE)</f>
        <v>34</v>
      </c>
      <c r="K28" s="16">
        <f>VLOOKUP($A$25,'集計'!$A$4:$EP$61,41,FALSE)</f>
        <v>676.8</v>
      </c>
      <c r="L28" s="15">
        <f>VLOOKUP($A$25,'集計'!$A$4:$EP$61,45,FALSE)</f>
        <v>5</v>
      </c>
      <c r="M28" s="16">
        <f>VLOOKUP($A$25,'集計'!$A$4:$EP$61,49,FALSE)</f>
        <v>50.2</v>
      </c>
      <c r="N28" s="15">
        <f>VLOOKUP($A$25,'集計'!$A$4:$EP$61,53,FALSE)</f>
        <v>4</v>
      </c>
      <c r="O28" s="16">
        <f>VLOOKUP($A$25,'集計'!$A$4:$EP$61,57,FALSE)</f>
        <v>74.1</v>
      </c>
      <c r="P28" s="15">
        <f>VLOOKUP($A$25,'集計'!$A$4:$EP$61,61,FALSE)</f>
        <v>13</v>
      </c>
      <c r="Q28" s="16">
        <f>VLOOKUP($A$25,'集計'!$A$4:$EP$61,65,FALSE)</f>
        <v>1146</v>
      </c>
      <c r="R28" s="15">
        <f>VLOOKUP($A$25,'集計'!$A$4:$EP$61,69,FALSE)</f>
        <v>253</v>
      </c>
      <c r="S28" s="16">
        <f>VLOOKUP($A$25,'集計'!$A$4:$EP$61,73,FALSE)</f>
        <v>4160.7</v>
      </c>
      <c r="T28" s="36" t="s">
        <v>24</v>
      </c>
      <c r="U28" s="15">
        <f>VLOOKUP($A$25,'集計'!$A$4:$EP$61,77,FALSE)</f>
        <v>88</v>
      </c>
      <c r="V28" s="16">
        <f>VLOOKUP($A$25,'集計'!$A$4:$EP$61,81,FALSE)</f>
        <v>21.5</v>
      </c>
      <c r="W28" s="15">
        <f>VLOOKUP($A$25,'集計'!$A$4:$EP$61,85,FALSE)</f>
        <v>18</v>
      </c>
      <c r="X28" s="16">
        <f>VLOOKUP($A$25,'集計'!$A$4:$EP$61,89,FALSE)</f>
        <v>33.9</v>
      </c>
      <c r="Y28" s="15">
        <f>VLOOKUP($A$25,'集計'!$A$4:$EP$61,93,FALSE)</f>
        <v>19</v>
      </c>
      <c r="Z28" s="16">
        <f>VLOOKUP($A$25,'集計'!$A$4:$EP$61,97,FALSE)</f>
        <v>110.6</v>
      </c>
      <c r="AA28" s="15">
        <f>VLOOKUP($A$25,'集計'!$A$4:$EP$61,101,FALSE)</f>
        <v>47</v>
      </c>
      <c r="AB28" s="16">
        <f>VLOOKUP($A$25,'集計'!$A$4:$EP$61,105,FALSE)</f>
        <v>1168.31</v>
      </c>
      <c r="AC28" s="15">
        <f>VLOOKUP($A$25,'集計'!$A$4:$EP$61,109,FALSE)</f>
        <v>34</v>
      </c>
      <c r="AD28" s="16">
        <f>VLOOKUP($A$25,'集計'!$A$4:$EP$61,113,FALSE)</f>
        <v>568.9</v>
      </c>
      <c r="AE28" s="15">
        <f>VLOOKUP($A$25,'集計'!$A$4:$EP$61,117,FALSE)</f>
        <v>4</v>
      </c>
      <c r="AF28" s="16">
        <f>VLOOKUP($A$25,'集計'!$A$4:$EP$61,121,FALSE)</f>
        <v>38.7</v>
      </c>
      <c r="AG28" s="15">
        <f>VLOOKUP($A$25,'集計'!$A$4:$EP$61,125,FALSE)</f>
        <v>4</v>
      </c>
      <c r="AH28" s="16">
        <f>VLOOKUP($A$25,'集計'!$A$4:$EP$61,129,FALSE)</f>
        <v>73.6</v>
      </c>
      <c r="AI28" s="15">
        <f>VLOOKUP($A$25,'集計'!$A$4:$EP$61,133,FALSE)</f>
        <v>13</v>
      </c>
      <c r="AJ28" s="16">
        <f>VLOOKUP($A$25,'集計'!$A$4:$EP$61,137,FALSE)</f>
        <v>657.3</v>
      </c>
      <c r="AK28" s="15">
        <f>VLOOKUP($A$25,'集計'!$A$4:$EP$61,141,FALSE)</f>
        <v>227</v>
      </c>
      <c r="AL28" s="16">
        <f>VLOOKUP($A$25,'集計'!$A$4:$EP$61,145,FALSE)</f>
        <v>2672.81</v>
      </c>
    </row>
    <row r="29" spans="1:38" s="18" customFormat="1" ht="16.5" customHeight="1">
      <c r="A29" s="31" t="s">
        <v>77</v>
      </c>
      <c r="B29" s="15">
        <f>VLOOKUP($A$29,'集計'!$A$4:$EP$61,6,FALSE)</f>
        <v>4038</v>
      </c>
      <c r="C29" s="16">
        <f>VLOOKUP($A$29,'集計'!$A$4:$EP$61,10,FALSE)</f>
        <v>1044.36</v>
      </c>
      <c r="D29" s="15">
        <f>VLOOKUP($A$29,'集計'!$A$4:$EP$61,14,FALSE)</f>
        <v>526</v>
      </c>
      <c r="E29" s="16">
        <f>VLOOKUP($A$29,'集計'!$A$4:$EP$61,18,FALSE)</f>
        <v>937.5</v>
      </c>
      <c r="F29" s="15">
        <f>VLOOKUP($A$29,'集計'!$A$4:$EP$61,22,FALSE)</f>
        <v>149</v>
      </c>
      <c r="G29" s="16">
        <f>VLOOKUP($A$29,'集計'!$A$4:$EP$61,26,FALSE)</f>
        <v>877.8</v>
      </c>
      <c r="H29" s="15">
        <f>VLOOKUP($A$29,'集計'!$A$4:$EP$61,30,FALSE)</f>
        <v>143</v>
      </c>
      <c r="I29" s="16">
        <f>VLOOKUP($A$29,'集計'!$A$4:$EP$61,34,FALSE)</f>
        <v>4008.2</v>
      </c>
      <c r="J29" s="15">
        <f>VLOOKUP($A$29,'集計'!$A$4:$EP$61,38,FALSE)</f>
        <v>65</v>
      </c>
      <c r="K29" s="16">
        <f>VLOOKUP($A$29,'集計'!$A$4:$EP$61,42,FALSE)</f>
        <v>1335.5</v>
      </c>
      <c r="L29" s="15">
        <f>VLOOKUP($A$29,'集計'!$A$4:$EP$61,46,FALSE)</f>
        <v>36</v>
      </c>
      <c r="M29" s="16">
        <f>VLOOKUP($A$29,'集計'!$A$4:$EP$61,50,FALSE)</f>
        <v>627.6</v>
      </c>
      <c r="N29" s="15">
        <f>VLOOKUP($A$29,'集計'!$A$4:$EP$61,54,FALSE)</f>
        <v>36</v>
      </c>
      <c r="O29" s="16">
        <f>VLOOKUP($A$29,'集計'!$A$4:$EP$61,58,FALSE)</f>
        <v>164.5</v>
      </c>
      <c r="P29" s="15">
        <f>VLOOKUP($A$29,'集計'!$A$4:$EP$61,62,FALSE)</f>
        <v>16</v>
      </c>
      <c r="Q29" s="16">
        <f>VLOOKUP($A$29,'集計'!$A$4:$EP$61,66,FALSE)</f>
        <v>2355.4</v>
      </c>
      <c r="R29" s="15">
        <f>VLOOKUP($A$29,'集計'!$A$4:$EP$61,70,FALSE)</f>
        <v>5009</v>
      </c>
      <c r="S29" s="16">
        <f>VLOOKUP($A$29,'集計'!$A$4:$EP$61,74,FALSE)</f>
        <v>11350.86</v>
      </c>
      <c r="T29" s="31" t="s">
        <v>77</v>
      </c>
      <c r="U29" s="15">
        <f>VLOOKUP($A$29,'集計'!$A$4:$EP$61,78,FALSE)</f>
        <v>3877</v>
      </c>
      <c r="V29" s="16">
        <f>VLOOKUP($A$29,'集計'!$A$4:$EP$61,82,FALSE)</f>
        <v>998.45</v>
      </c>
      <c r="W29" s="15">
        <f>VLOOKUP($A$29,'集計'!$A$4:$EP$61,86,FALSE)</f>
        <v>468</v>
      </c>
      <c r="X29" s="16">
        <f>VLOOKUP($A$29,'集計'!$A$4:$EP$61,90,FALSE)</f>
        <v>764.5</v>
      </c>
      <c r="Y29" s="15">
        <f>VLOOKUP($A$29,'集計'!$A$4:$EP$61,94,FALSE)</f>
        <v>138</v>
      </c>
      <c r="Z29" s="16">
        <f>VLOOKUP($A$29,'集計'!$A$4:$EP$61,98,FALSE)</f>
        <v>647.3</v>
      </c>
      <c r="AA29" s="15">
        <f>VLOOKUP($A$29,'集計'!$A$4:$EP$61,102,FALSE)</f>
        <v>124</v>
      </c>
      <c r="AB29" s="16">
        <f>VLOOKUP($A$29,'集計'!$A$4:$EP$61,106,FALSE)</f>
        <v>2179.1</v>
      </c>
      <c r="AC29" s="15">
        <f>VLOOKUP($A$29,'集計'!$A$4:$EP$61,110,FALSE)</f>
        <v>63</v>
      </c>
      <c r="AD29" s="16">
        <f>VLOOKUP($A$29,'集計'!$A$4:$EP$61,114,FALSE)</f>
        <v>1038.3</v>
      </c>
      <c r="AE29" s="15">
        <f>VLOOKUP($A$29,'集計'!$A$4:$EP$61,118,FALSE)</f>
        <v>31</v>
      </c>
      <c r="AF29" s="16">
        <f>VLOOKUP($A$29,'集計'!$A$4:$EP$61,122,FALSE)</f>
        <v>222.8</v>
      </c>
      <c r="AG29" s="15">
        <f>VLOOKUP($A$29,'集計'!$A$4:$EP$61,126,FALSE)</f>
        <v>28</v>
      </c>
      <c r="AH29" s="16">
        <f>VLOOKUP($A$29,'集計'!$A$4:$EP$61,130,FALSE)</f>
        <v>120.1</v>
      </c>
      <c r="AI29" s="15">
        <f>VLOOKUP($A$29,'集計'!$A$4:$EP$61,134,FALSE)</f>
        <v>15</v>
      </c>
      <c r="AJ29" s="16">
        <f>VLOOKUP($A$29,'集計'!$A$4:$EP$61,138,FALSE)</f>
        <v>1305.4</v>
      </c>
      <c r="AK29" s="15">
        <f>VLOOKUP($A$29,'集計'!$A$4:$EP$61,142,FALSE)</f>
        <v>4744</v>
      </c>
      <c r="AL29" s="16">
        <f>VLOOKUP($A$29,'集計'!$A$4:$EP$61,146,FALSE)</f>
        <v>7275.95</v>
      </c>
    </row>
    <row r="30" spans="1:38" s="18" customFormat="1" ht="16.5" customHeight="1">
      <c r="A30" s="36" t="s">
        <v>22</v>
      </c>
      <c r="B30" s="15">
        <f>VLOOKUP($A$29,'集計'!$A$4:$EP$61,3,FALSE)</f>
        <v>3065</v>
      </c>
      <c r="C30" s="16">
        <f>VLOOKUP($A$29,'集計'!$A$4:$EP$61,7,FALSE)</f>
        <v>805.05</v>
      </c>
      <c r="D30" s="15">
        <f>VLOOKUP($A$29,'集計'!$A$4:$EP$61,11,FALSE)</f>
        <v>360</v>
      </c>
      <c r="E30" s="16">
        <f>VLOOKUP($A$29,'集計'!$A$4:$EP$61,15,FALSE)</f>
        <v>624.8</v>
      </c>
      <c r="F30" s="15">
        <f>VLOOKUP($A$29,'集計'!$A$4:$EP$61,19,FALSE)</f>
        <v>84</v>
      </c>
      <c r="G30" s="16">
        <f>VLOOKUP($A$29,'集計'!$A$4:$EP$61,23,FALSE)</f>
        <v>497.2</v>
      </c>
      <c r="H30" s="15">
        <f>VLOOKUP($A$29,'集計'!$A$4:$EP$61,27,FALSE)</f>
        <v>37</v>
      </c>
      <c r="I30" s="16">
        <f>VLOOKUP($A$29,'集計'!$A$4:$EP$61,31,FALSE)</f>
        <v>832</v>
      </c>
      <c r="J30" s="15">
        <f>VLOOKUP($A$29,'集計'!$A$4:$EP$61,35,FALSE)</f>
        <v>17</v>
      </c>
      <c r="K30" s="16">
        <f>VLOOKUP($A$29,'集計'!$A$4:$EP$61,39,FALSE)</f>
        <v>279.8</v>
      </c>
      <c r="L30" s="15">
        <f>VLOOKUP($A$29,'集計'!$A$4:$EP$61,43,FALSE)</f>
        <v>7</v>
      </c>
      <c r="M30" s="16">
        <f>VLOOKUP($A$29,'集計'!$A$4:$EP$61,47,FALSE)</f>
        <v>36.1</v>
      </c>
      <c r="N30" s="15">
        <f>VLOOKUP($A$29,'集計'!$A$4:$EP$61,51,FALSE)</f>
        <v>20</v>
      </c>
      <c r="O30" s="16">
        <f>VLOOKUP($A$29,'集計'!$A$4:$EP$61,55,FALSE)</f>
        <v>106</v>
      </c>
      <c r="P30" s="15">
        <f>VLOOKUP($A$29,'集計'!$A$4:$EP$61,59,FALSE)</f>
        <v>0</v>
      </c>
      <c r="Q30" s="16">
        <f>VLOOKUP($A$29,'集計'!$A$4:$EP$61,63,FALSE)</f>
        <v>0</v>
      </c>
      <c r="R30" s="15">
        <f>VLOOKUP($A$29,'集計'!$A$4:$EP$61,67,FALSE)</f>
        <v>3590</v>
      </c>
      <c r="S30" s="16">
        <f>VLOOKUP($A$29,'集計'!$A$4:$EP$61,71,FALSE)</f>
        <v>3180.95</v>
      </c>
      <c r="T30" s="36" t="s">
        <v>22</v>
      </c>
      <c r="U30" s="15">
        <f>VLOOKUP($A$29,'集計'!$A$4:$EP$61,75,FALSE)</f>
        <v>2971</v>
      </c>
      <c r="V30" s="16">
        <f>VLOOKUP($A$29,'集計'!$A$4:$EP$61,79,FALSE)</f>
        <v>775.39</v>
      </c>
      <c r="W30" s="15">
        <f>VLOOKUP($A$29,'集計'!$A$4:$EP$61,83,FALSE)</f>
        <v>330</v>
      </c>
      <c r="X30" s="16">
        <f>VLOOKUP($A$29,'集計'!$A$4:$EP$61,87,FALSE)</f>
        <v>524.5</v>
      </c>
      <c r="Y30" s="15">
        <f>VLOOKUP($A$29,'集計'!$A$4:$EP$61,91,FALSE)</f>
        <v>80</v>
      </c>
      <c r="Z30" s="16">
        <f>VLOOKUP($A$29,'集計'!$A$4:$EP$61,95,FALSE)</f>
        <v>350</v>
      </c>
      <c r="AA30" s="15">
        <f>VLOOKUP($A$29,'集計'!$A$4:$EP$61,99,FALSE)</f>
        <v>31</v>
      </c>
      <c r="AB30" s="16">
        <f>VLOOKUP($A$29,'集計'!$A$4:$EP$61,103,FALSE)</f>
        <v>479.5</v>
      </c>
      <c r="AC30" s="15">
        <f>VLOOKUP($A$29,'集計'!$A$4:$EP$61,107,FALSE)</f>
        <v>16</v>
      </c>
      <c r="AD30" s="16">
        <f>VLOOKUP($A$29,'集計'!$A$4:$EP$61,111,FALSE)</f>
        <v>242.5</v>
      </c>
      <c r="AE30" s="15">
        <f>VLOOKUP($A$29,'集計'!$A$4:$EP$61,115,FALSE)</f>
        <v>6</v>
      </c>
      <c r="AF30" s="16">
        <f>VLOOKUP($A$29,'集計'!$A$4:$EP$61,119,FALSE)</f>
        <v>19.6</v>
      </c>
      <c r="AG30" s="15">
        <f>VLOOKUP($A$29,'集計'!$A$4:$EP$61,123,FALSE)</f>
        <v>14</v>
      </c>
      <c r="AH30" s="16">
        <f>VLOOKUP($A$29,'集計'!$A$4:$EP$61,127,FALSE)</f>
        <v>80.2</v>
      </c>
      <c r="AI30" s="15">
        <f>VLOOKUP($A$29,'集計'!$A$4:$EP$61,131,FALSE)</f>
        <v>0</v>
      </c>
      <c r="AJ30" s="16">
        <f>VLOOKUP($A$29,'集計'!$A$4:$EP$61,135,FALSE)</f>
        <v>0</v>
      </c>
      <c r="AK30" s="15">
        <f>VLOOKUP($A$29,'集計'!$A$4:$EP$61,139,FALSE)</f>
        <v>3448</v>
      </c>
      <c r="AL30" s="16">
        <f>VLOOKUP($A$29,'集計'!$A$4:$EP$61,143,FALSE)</f>
        <v>2471.69</v>
      </c>
    </row>
    <row r="31" spans="1:38" s="18" customFormat="1" ht="16.5" customHeight="1">
      <c r="A31" s="36" t="s">
        <v>23</v>
      </c>
      <c r="B31" s="15">
        <f>VLOOKUP($A$29,'集計'!$A$4:$EP$61,4,FALSE)</f>
        <v>719</v>
      </c>
      <c r="C31" s="16">
        <f>VLOOKUP($A$29,'集計'!$A$4:$EP$61,8,FALSE)</f>
        <v>173.18</v>
      </c>
      <c r="D31" s="15">
        <f>VLOOKUP($A$29,'集計'!$A$4:$EP$61,(12),FALSE)</f>
        <v>116</v>
      </c>
      <c r="E31" s="16">
        <f>VLOOKUP($A$29,'集計'!$A$4:$EP$61,16,FALSE)</f>
        <v>208</v>
      </c>
      <c r="F31" s="15">
        <f>VLOOKUP($A$29,'集計'!$A$4:$EP$61,20,FALSE)</f>
        <v>27</v>
      </c>
      <c r="G31" s="16">
        <f>VLOOKUP($A$29,'集計'!$A$4:$EP$61,24,FALSE)</f>
        <v>155.7</v>
      </c>
      <c r="H31" s="15">
        <f>VLOOKUP($A$29,'集計'!$A$4:$EP$61,28,FALSE)</f>
        <v>29</v>
      </c>
      <c r="I31" s="16">
        <f>VLOOKUP($A$29,'集計'!$A$4:$EP$61,32,FALSE)</f>
        <v>785.8</v>
      </c>
      <c r="J31" s="15">
        <f>VLOOKUP($A$29,'集計'!$A$4:$EP$61,36,FALSE)</f>
        <v>8</v>
      </c>
      <c r="K31" s="16">
        <f>VLOOKUP($A$29,'集計'!$A$4:$EP$61,40,FALSE)</f>
        <v>183.9</v>
      </c>
      <c r="L31" s="15">
        <f>VLOOKUP($A$29,'集計'!$A$4:$EP$61,44,FALSE)</f>
        <v>4</v>
      </c>
      <c r="M31" s="16">
        <f>VLOOKUP($A$29,'集計'!$A$4:$EP$61,48,FALSE)</f>
        <v>35.9</v>
      </c>
      <c r="N31" s="15">
        <f>VLOOKUP($A$29,'集計'!$A$4:$EP$61,52,FALSE)</f>
        <v>3</v>
      </c>
      <c r="O31" s="16">
        <f>VLOOKUP($A$29,'集計'!$A$4:$EP$61,56,FALSE)</f>
        <v>4.4</v>
      </c>
      <c r="P31" s="15">
        <f>VLOOKUP($A$29,'集計'!$A$4:$EP$61,60,FALSE)</f>
        <v>0</v>
      </c>
      <c r="Q31" s="16">
        <f>VLOOKUP($A$29,'集計'!$A$4:$EP$61,64,FALSE)</f>
        <v>0</v>
      </c>
      <c r="R31" s="15">
        <f>VLOOKUP($A$29,'集計'!$A$4:$EP$61,68,FALSE)</f>
        <v>906</v>
      </c>
      <c r="S31" s="16">
        <f>VLOOKUP($A$29,'集計'!$A$4:$EP$61,72,FALSE)</f>
        <v>1546.88</v>
      </c>
      <c r="T31" s="36" t="s">
        <v>23</v>
      </c>
      <c r="U31" s="15">
        <f>VLOOKUP($A$29,'集計'!$A$4:$EP$61,76,FALSE)</f>
        <v>659</v>
      </c>
      <c r="V31" s="16">
        <f>VLOOKUP($A$29,'集計'!$A$4:$EP$61,80,FALSE)</f>
        <v>158.98</v>
      </c>
      <c r="W31" s="15">
        <f>VLOOKUP($A$29,'集計'!$A$4:$EP$61,84,FALSE)</f>
        <v>99</v>
      </c>
      <c r="X31" s="16">
        <f>VLOOKUP($A$29,'集計'!$A$4:$EP$61,88,FALSE)</f>
        <v>170.3</v>
      </c>
      <c r="Y31" s="15">
        <f>VLOOKUP($A$29,'集計'!$A$4:$EP$61,92,FALSE)</f>
        <v>24</v>
      </c>
      <c r="Z31" s="16">
        <f>VLOOKUP($A$29,'集計'!$A$4:$EP$61,96,FALSE)</f>
        <v>114.6</v>
      </c>
      <c r="AA31" s="15">
        <f>VLOOKUP($A$29,'集計'!$A$4:$EP$61,100,FALSE)</f>
        <v>25</v>
      </c>
      <c r="AB31" s="16">
        <f>VLOOKUP($A$29,'集計'!$A$4:$EP$61,104,FALSE)</f>
        <v>444.7</v>
      </c>
      <c r="AC31" s="15">
        <f>VLOOKUP($A$29,'集計'!$A$4:$EP$61,108,FALSE)</f>
        <v>8</v>
      </c>
      <c r="AD31" s="16">
        <f>VLOOKUP($A$29,'集計'!$A$4:$EP$61,112,FALSE)</f>
        <v>154.6</v>
      </c>
      <c r="AE31" s="15">
        <f>VLOOKUP($A$29,'集計'!$A$4:$EP$61,116,FALSE)</f>
        <v>4</v>
      </c>
      <c r="AF31" s="16">
        <f>VLOOKUP($A$29,'集計'!$A$4:$EP$61,120,FALSE)</f>
        <v>28</v>
      </c>
      <c r="AG31" s="15">
        <f>VLOOKUP($A$29,'集計'!$A$4:$EP$61,124,FALSE)</f>
        <v>3</v>
      </c>
      <c r="AH31" s="16">
        <f>VLOOKUP($A$29,'集計'!$A$4:$EP$61,128,FALSE)</f>
        <v>4.2</v>
      </c>
      <c r="AI31" s="15">
        <f>VLOOKUP($A$29,'集計'!$A$4:$EP$61,132,FALSE)</f>
        <v>0</v>
      </c>
      <c r="AJ31" s="16">
        <f>VLOOKUP($A$29,'集計'!$A$4:$EP$61,136,FALSE)</f>
        <v>0</v>
      </c>
      <c r="AK31" s="15">
        <f>VLOOKUP($A$29,'集計'!$A$4:$EP$61,140,FALSE)</f>
        <v>822</v>
      </c>
      <c r="AL31" s="16">
        <f>VLOOKUP($A$29,'集計'!$A$4:$EP$61,144,FALSE)</f>
        <v>1075.38</v>
      </c>
    </row>
    <row r="32" spans="1:38" s="18" customFormat="1" ht="16.5" customHeight="1">
      <c r="A32" s="36" t="s">
        <v>24</v>
      </c>
      <c r="B32" s="15">
        <f>VLOOKUP($A$29,'集計'!$A$4:$EP$61,5,FALSE)</f>
        <v>254</v>
      </c>
      <c r="C32" s="16">
        <f>VLOOKUP($A$29,'集計'!$A$4:$EP$61,9,FALSE)</f>
        <v>66.13</v>
      </c>
      <c r="D32" s="15">
        <f>VLOOKUP($A$29,'集計'!$A$4:$EP$61,13,FALSE)</f>
        <v>50</v>
      </c>
      <c r="E32" s="16">
        <f>VLOOKUP($A$29,'集計'!$A$4:$EP$61,17,FALSE)</f>
        <v>104.7</v>
      </c>
      <c r="F32" s="15">
        <f>VLOOKUP($A$29,'集計'!$A$4:$EP$61,21,FALSE)</f>
        <v>38</v>
      </c>
      <c r="G32" s="16">
        <f>VLOOKUP($A$29,'集計'!$A$4:$EP$61,25,FALSE)</f>
        <v>224.9</v>
      </c>
      <c r="H32" s="15">
        <f>VLOOKUP($A$29,'集計'!$A$4:$EP$61,29,FALSE)</f>
        <v>77</v>
      </c>
      <c r="I32" s="16">
        <f>VLOOKUP($A$29,'集計'!$A$4:$EP$61,33,FALSE)</f>
        <v>2390.4</v>
      </c>
      <c r="J32" s="15">
        <f>VLOOKUP($A$29,'集計'!$A$4:$EP$61,37,FALSE)</f>
        <v>40</v>
      </c>
      <c r="K32" s="16">
        <f>VLOOKUP($A$29,'集計'!$A$4:$EP$61,41,FALSE)</f>
        <v>871.8</v>
      </c>
      <c r="L32" s="15">
        <f>VLOOKUP($A$29,'集計'!$A$4:$EP$61,45,FALSE)</f>
        <v>25</v>
      </c>
      <c r="M32" s="16">
        <f>VLOOKUP($A$29,'集計'!$A$4:$EP$61,49,FALSE)</f>
        <v>555.6</v>
      </c>
      <c r="N32" s="15">
        <f>VLOOKUP($A$29,'集計'!$A$4:$EP$61,53,FALSE)</f>
        <v>13</v>
      </c>
      <c r="O32" s="16">
        <f>VLOOKUP($A$29,'集計'!$A$4:$EP$61,57,FALSE)</f>
        <v>54.1</v>
      </c>
      <c r="P32" s="15">
        <f>VLOOKUP($A$29,'集計'!$A$4:$EP$61,61,FALSE)</f>
        <v>16</v>
      </c>
      <c r="Q32" s="16">
        <f>VLOOKUP($A$29,'集計'!$A$4:$EP$61,65,FALSE)</f>
        <v>2355.4</v>
      </c>
      <c r="R32" s="15">
        <f>VLOOKUP($A$29,'集計'!$A$4:$EP$61,69,FALSE)</f>
        <v>513</v>
      </c>
      <c r="S32" s="16">
        <f>VLOOKUP($A$29,'集計'!$A$4:$EP$61,73,FALSE)</f>
        <v>6623.03</v>
      </c>
      <c r="T32" s="36" t="s">
        <v>24</v>
      </c>
      <c r="U32" s="15">
        <f>VLOOKUP($A$29,'集計'!$A$4:$EP$61,77,FALSE)</f>
        <v>247</v>
      </c>
      <c r="V32" s="16">
        <f>VLOOKUP($A$29,'集計'!$A$4:$EP$61,81,FALSE)</f>
        <v>64.08</v>
      </c>
      <c r="W32" s="15">
        <f>VLOOKUP($A$29,'集計'!$A$4:$EP$61,85,FALSE)</f>
        <v>39</v>
      </c>
      <c r="X32" s="16">
        <f>VLOOKUP($A$29,'集計'!$A$4:$EP$61,89,FALSE)</f>
        <v>69.7</v>
      </c>
      <c r="Y32" s="15">
        <f>VLOOKUP($A$29,'集計'!$A$4:$EP$61,93,FALSE)</f>
        <v>34</v>
      </c>
      <c r="Z32" s="16">
        <f>VLOOKUP($A$29,'集計'!$A$4:$EP$61,97,FALSE)</f>
        <v>182.7</v>
      </c>
      <c r="AA32" s="15">
        <f>VLOOKUP($A$29,'集計'!$A$4:$EP$61,101,FALSE)</f>
        <v>68</v>
      </c>
      <c r="AB32" s="16">
        <f>VLOOKUP($A$29,'集計'!$A$4:$EP$61,105,FALSE)</f>
        <v>1254.9</v>
      </c>
      <c r="AC32" s="15">
        <f>VLOOKUP($A$29,'集計'!$A$4:$EP$61,109,FALSE)</f>
        <v>39</v>
      </c>
      <c r="AD32" s="16">
        <f>VLOOKUP($A$29,'集計'!$A$4:$EP$61,113,FALSE)</f>
        <v>641.2</v>
      </c>
      <c r="AE32" s="15">
        <f>VLOOKUP($A$29,'集計'!$A$4:$EP$61,117,FALSE)</f>
        <v>21</v>
      </c>
      <c r="AF32" s="16">
        <f>VLOOKUP($A$29,'集計'!$A$4:$EP$61,121,FALSE)</f>
        <v>175.2</v>
      </c>
      <c r="AG32" s="15">
        <f>VLOOKUP($A$29,'集計'!$A$4:$EP$61,125,FALSE)</f>
        <v>11</v>
      </c>
      <c r="AH32" s="16">
        <f>VLOOKUP($A$29,'集計'!$A$4:$EP$61,129,FALSE)</f>
        <v>35.7</v>
      </c>
      <c r="AI32" s="15">
        <f>VLOOKUP($A$29,'集計'!$A$4:$EP$61,133,FALSE)</f>
        <v>15</v>
      </c>
      <c r="AJ32" s="16">
        <f>VLOOKUP($A$29,'集計'!$A$4:$EP$61,137,FALSE)</f>
        <v>1305.4</v>
      </c>
      <c r="AK32" s="15">
        <f>VLOOKUP($A$29,'集計'!$A$4:$EP$61,141,FALSE)</f>
        <v>474</v>
      </c>
      <c r="AL32" s="16">
        <f>VLOOKUP($A$29,'集計'!$A$4:$EP$61,145,FALSE)</f>
        <v>3728.88</v>
      </c>
    </row>
    <row r="33" spans="1:38" s="18" customFormat="1" ht="16.5" customHeight="1">
      <c r="A33" s="31" t="s">
        <v>78</v>
      </c>
      <c r="B33" s="15">
        <f>VLOOKUP($A$33,'集計'!$A$4:$EP$61,6,FALSE)</f>
        <v>4782</v>
      </c>
      <c r="C33" s="16">
        <f>VLOOKUP($A$33,'集計'!$A$4:$EP$61,10,FALSE)</f>
        <v>1231.89</v>
      </c>
      <c r="D33" s="15">
        <f>VLOOKUP($A$33,'集計'!$A$4:$EP$61,14,FALSE)</f>
        <v>916</v>
      </c>
      <c r="E33" s="16">
        <f>VLOOKUP($A$33,'集計'!$A$4:$EP$61,18,FALSE)</f>
        <v>1876.2</v>
      </c>
      <c r="F33" s="15">
        <f>VLOOKUP($A$33,'集計'!$A$4:$EP$61,22,FALSE)</f>
        <v>243</v>
      </c>
      <c r="G33" s="16">
        <f>VLOOKUP($A$33,'集計'!$A$4:$EP$61,26,FALSE)</f>
        <v>1405.5</v>
      </c>
      <c r="H33" s="15">
        <f>VLOOKUP($A$33,'集計'!$A$4:$EP$61,30,FALSE)</f>
        <v>188</v>
      </c>
      <c r="I33" s="16">
        <f>VLOOKUP($A$33,'集計'!$A$4:$EP$61,34,FALSE)</f>
        <v>4595.2</v>
      </c>
      <c r="J33" s="15">
        <f>VLOOKUP($A$33,'集計'!$A$4:$EP$61,38,FALSE)</f>
        <v>57</v>
      </c>
      <c r="K33" s="16">
        <f>VLOOKUP($A$33,'集計'!$A$4:$EP$61,42,FALSE)</f>
        <v>1123.9</v>
      </c>
      <c r="L33" s="15">
        <f>VLOOKUP($A$33,'集計'!$A$4:$EP$61,46,FALSE)</f>
        <v>79</v>
      </c>
      <c r="M33" s="16">
        <f>VLOOKUP($A$33,'集計'!$A$4:$EP$61,50,FALSE)</f>
        <v>1522.4</v>
      </c>
      <c r="N33" s="15">
        <f>VLOOKUP($A$33,'集計'!$A$4:$EP$61,54,FALSE)</f>
        <v>27</v>
      </c>
      <c r="O33" s="16">
        <f>VLOOKUP($A$33,'集計'!$A$4:$EP$61,58,FALSE)</f>
        <v>419.9</v>
      </c>
      <c r="P33" s="15">
        <f>VLOOKUP($A$33,'集計'!$A$4:$EP$61,62,FALSE)</f>
        <v>29</v>
      </c>
      <c r="Q33" s="16">
        <f>VLOOKUP($A$33,'集計'!$A$4:$EP$61,66,FALSE)</f>
        <v>4178.8</v>
      </c>
      <c r="R33" s="15">
        <f>VLOOKUP($A$33,'集計'!$A$4:$EP$61,70,FALSE)</f>
        <v>6321</v>
      </c>
      <c r="S33" s="16">
        <f>VLOOKUP($A$33,'集計'!$A$4:$EP$61,74,FALSE)</f>
        <v>16353.79</v>
      </c>
      <c r="T33" s="31" t="s">
        <v>78</v>
      </c>
      <c r="U33" s="15">
        <f>VLOOKUP($A$33,'集計'!$A$4:$EP$61,78,FALSE)</f>
        <v>4545</v>
      </c>
      <c r="V33" s="16">
        <f>VLOOKUP($A$33,'集計'!$A$4:$EP$61,82,FALSE)</f>
        <v>1144.7</v>
      </c>
      <c r="W33" s="15">
        <f>VLOOKUP($A$33,'集計'!$A$4:$EP$61,86,FALSE)</f>
        <v>749</v>
      </c>
      <c r="X33" s="16">
        <f>VLOOKUP($A$33,'集計'!$A$4:$EP$61,90,FALSE)</f>
        <v>1369.36</v>
      </c>
      <c r="Y33" s="15">
        <f>VLOOKUP($A$33,'集計'!$A$4:$EP$61,94,FALSE)</f>
        <v>208</v>
      </c>
      <c r="Z33" s="16">
        <f>VLOOKUP($A$33,'集計'!$A$4:$EP$61,98,FALSE)</f>
        <v>997.51</v>
      </c>
      <c r="AA33" s="15">
        <f>VLOOKUP($A$33,'集計'!$A$4:$EP$61,102,FALSE)</f>
        <v>168</v>
      </c>
      <c r="AB33" s="16">
        <f>VLOOKUP($A$33,'集計'!$A$4:$EP$61,106,FALSE)</f>
        <v>2865.2</v>
      </c>
      <c r="AC33" s="15">
        <f>VLOOKUP($A$33,'集計'!$A$4:$EP$61,110,FALSE)</f>
        <v>54</v>
      </c>
      <c r="AD33" s="16">
        <f>VLOOKUP($A$33,'集計'!$A$4:$EP$61,114,FALSE)</f>
        <v>862.2</v>
      </c>
      <c r="AE33" s="15">
        <f>VLOOKUP($A$33,'集計'!$A$4:$EP$61,118,FALSE)</f>
        <v>60</v>
      </c>
      <c r="AF33" s="16">
        <f>VLOOKUP($A$33,'集計'!$A$4:$EP$61,122,FALSE)</f>
        <v>567.6</v>
      </c>
      <c r="AG33" s="15">
        <f>VLOOKUP($A$33,'集計'!$A$4:$EP$61,126,FALSE)</f>
        <v>23</v>
      </c>
      <c r="AH33" s="16">
        <f>VLOOKUP($A$33,'集計'!$A$4:$EP$61,130,FALSE)</f>
        <v>234.4</v>
      </c>
      <c r="AI33" s="15">
        <f>VLOOKUP($A$33,'集計'!$A$4:$EP$61,134,FALSE)</f>
        <v>27</v>
      </c>
      <c r="AJ33" s="16">
        <f>VLOOKUP($A$33,'集計'!$A$4:$EP$61,138,FALSE)</f>
        <v>2635.9</v>
      </c>
      <c r="AK33" s="15">
        <f>VLOOKUP($A$33,'集計'!$A$4:$EP$61,142,FALSE)</f>
        <v>5834</v>
      </c>
      <c r="AL33" s="16">
        <f>VLOOKUP($A$33,'集計'!$A$4:$EP$61,146,FALSE)</f>
        <v>10676.87</v>
      </c>
    </row>
    <row r="34" spans="1:38" s="18" customFormat="1" ht="16.5" customHeight="1">
      <c r="A34" s="36" t="s">
        <v>22</v>
      </c>
      <c r="B34" s="15">
        <f>VLOOKUP($A$33,'集計'!$A$4:$EP$61,3,FALSE)</f>
        <v>3903</v>
      </c>
      <c r="C34" s="16">
        <f>VLOOKUP($A$33,'集計'!$A$4:$EP$61,7,FALSE)</f>
        <v>1001</v>
      </c>
      <c r="D34" s="15">
        <f>VLOOKUP($A$33,'集計'!$A$4:$EP$61,11,FALSE)</f>
        <v>645</v>
      </c>
      <c r="E34" s="16">
        <f>VLOOKUP($A$33,'集計'!$A$4:$EP$61,15,FALSE)</f>
        <v>1244.9</v>
      </c>
      <c r="F34" s="15">
        <f>VLOOKUP($A$33,'集計'!$A$4:$EP$61,19,FALSE)</f>
        <v>137</v>
      </c>
      <c r="G34" s="16">
        <f>VLOOKUP($A$33,'集計'!$A$4:$EP$61,23,FALSE)</f>
        <v>719.7</v>
      </c>
      <c r="H34" s="15">
        <f>VLOOKUP($A$33,'集計'!$A$4:$EP$61,27,FALSE)</f>
        <v>74</v>
      </c>
      <c r="I34" s="16">
        <f>VLOOKUP($A$33,'集計'!$A$4:$EP$61,31,FALSE)</f>
        <v>1598.8</v>
      </c>
      <c r="J34" s="15">
        <f>VLOOKUP($A$33,'集計'!$A$4:$EP$61,35,FALSE)</f>
        <v>20</v>
      </c>
      <c r="K34" s="16">
        <f>VLOOKUP($A$33,'集計'!$A$4:$EP$61,39,FALSE)</f>
        <v>356.4</v>
      </c>
      <c r="L34" s="15">
        <f>VLOOKUP($A$33,'集計'!$A$4:$EP$61,43,FALSE)</f>
        <v>23</v>
      </c>
      <c r="M34" s="16">
        <f>VLOOKUP($A$33,'集計'!$A$4:$EP$61,47,FALSE)</f>
        <v>236.9</v>
      </c>
      <c r="N34" s="15">
        <f>VLOOKUP($A$33,'集計'!$A$4:$EP$61,51,FALSE)</f>
        <v>17</v>
      </c>
      <c r="O34" s="16">
        <f>VLOOKUP($A$33,'集計'!$A$4:$EP$61,55,FALSE)</f>
        <v>202.1</v>
      </c>
      <c r="P34" s="15">
        <f>VLOOKUP($A$33,'集計'!$A$4:$EP$61,59,FALSE)</f>
        <v>5</v>
      </c>
      <c r="Q34" s="16">
        <f>VLOOKUP($A$33,'集計'!$A$4:$EP$61,63,FALSE)</f>
        <v>289.6</v>
      </c>
      <c r="R34" s="15">
        <f>VLOOKUP($A$33,'集計'!$A$4:$EP$61,67,FALSE)</f>
        <v>4824</v>
      </c>
      <c r="S34" s="16">
        <f>VLOOKUP($A$33,'集計'!$A$4:$EP$61,71,FALSE)</f>
        <v>5649.4</v>
      </c>
      <c r="T34" s="36" t="s">
        <v>22</v>
      </c>
      <c r="U34" s="15">
        <f>VLOOKUP($A$33,'集計'!$A$4:$EP$61,75,FALSE)</f>
        <v>3730</v>
      </c>
      <c r="V34" s="16">
        <f>VLOOKUP($A$33,'集計'!$A$4:$EP$61,79,FALSE)</f>
        <v>936.65</v>
      </c>
      <c r="W34" s="15">
        <f>VLOOKUP($A$33,'集計'!$A$4:$EP$61,83,FALSE)</f>
        <v>556</v>
      </c>
      <c r="X34" s="16">
        <f>VLOOKUP($A$33,'集計'!$A$4:$EP$61,87,FALSE)</f>
        <v>948.5</v>
      </c>
      <c r="Y34" s="15">
        <f>VLOOKUP($A$33,'集計'!$A$4:$EP$61,91,FALSE)</f>
        <v>119</v>
      </c>
      <c r="Z34" s="16">
        <f>VLOOKUP($A$33,'集計'!$A$4:$EP$61,95,FALSE)</f>
        <v>532.6</v>
      </c>
      <c r="AA34" s="15">
        <f>VLOOKUP($A$33,'集計'!$A$4:$EP$61,99,FALSE)</f>
        <v>69</v>
      </c>
      <c r="AB34" s="16">
        <f>VLOOKUP($A$33,'集計'!$A$4:$EP$61,103,FALSE)</f>
        <v>1085.3</v>
      </c>
      <c r="AC34" s="15">
        <f>VLOOKUP($A$33,'集計'!$A$4:$EP$61,107,FALSE)</f>
        <v>18</v>
      </c>
      <c r="AD34" s="16">
        <f>VLOOKUP($A$33,'集計'!$A$4:$EP$61,111,FALSE)</f>
        <v>321.8</v>
      </c>
      <c r="AE34" s="15">
        <f>VLOOKUP($A$33,'集計'!$A$4:$EP$61,115,FALSE)</f>
        <v>19</v>
      </c>
      <c r="AF34" s="16">
        <f>VLOOKUP($A$33,'集計'!$A$4:$EP$61,119,FALSE)</f>
        <v>105</v>
      </c>
      <c r="AG34" s="15">
        <f>VLOOKUP($A$33,'集計'!$A$4:$EP$61,123,FALSE)</f>
        <v>16</v>
      </c>
      <c r="AH34" s="16">
        <f>VLOOKUP($A$33,'集計'!$A$4:$EP$61,127,FALSE)</f>
        <v>173.4</v>
      </c>
      <c r="AI34" s="15">
        <f>VLOOKUP($A$33,'集計'!$A$4:$EP$61,131,FALSE)</f>
        <v>5</v>
      </c>
      <c r="AJ34" s="16">
        <f>VLOOKUP($A$33,'集計'!$A$4:$EP$61,135,FALSE)</f>
        <v>288.2</v>
      </c>
      <c r="AK34" s="15">
        <f>VLOOKUP($A$33,'集計'!$A$4:$EP$61,139,FALSE)</f>
        <v>4532</v>
      </c>
      <c r="AL34" s="16">
        <f>VLOOKUP($A$33,'集計'!$A$4:$EP$61,143,FALSE)</f>
        <v>4391.45</v>
      </c>
    </row>
    <row r="35" spans="1:38" s="18" customFormat="1" ht="16.5" customHeight="1">
      <c r="A35" s="36" t="s">
        <v>23</v>
      </c>
      <c r="B35" s="15">
        <f>VLOOKUP($A$33,'集計'!$A$4:$EP$61,4,FALSE)</f>
        <v>672</v>
      </c>
      <c r="C35" s="16">
        <f>VLOOKUP($A$33,'集計'!$A$4:$EP$61,8,FALSE)</f>
        <v>178.61</v>
      </c>
      <c r="D35" s="15">
        <f>VLOOKUP($A$33,'集計'!$A$4:$EP$61,(12),FALSE)</f>
        <v>194</v>
      </c>
      <c r="E35" s="16">
        <f>VLOOKUP($A$33,'集計'!$A$4:$EP$61,16,FALSE)</f>
        <v>453</v>
      </c>
      <c r="F35" s="15">
        <f>VLOOKUP($A$33,'集計'!$A$4:$EP$61,20,FALSE)</f>
        <v>47</v>
      </c>
      <c r="G35" s="16">
        <f>VLOOKUP($A$33,'集計'!$A$4:$EP$61,24,FALSE)</f>
        <v>291.6</v>
      </c>
      <c r="H35" s="15">
        <f>VLOOKUP($A$33,'集計'!$A$4:$EP$61,28,FALSE)</f>
        <v>26</v>
      </c>
      <c r="I35" s="16">
        <f>VLOOKUP($A$33,'集計'!$A$4:$EP$61,32,FALSE)</f>
        <v>645.8</v>
      </c>
      <c r="J35" s="15">
        <f>VLOOKUP($A$33,'集計'!$A$4:$EP$61,36,FALSE)</f>
        <v>10</v>
      </c>
      <c r="K35" s="16">
        <f>VLOOKUP($A$33,'集計'!$A$4:$EP$61,40,FALSE)</f>
        <v>225.2</v>
      </c>
      <c r="L35" s="15">
        <f>VLOOKUP($A$33,'集計'!$A$4:$EP$61,44,FALSE)</f>
        <v>10</v>
      </c>
      <c r="M35" s="16">
        <f>VLOOKUP($A$33,'集計'!$A$4:$EP$61,48,FALSE)</f>
        <v>201.6</v>
      </c>
      <c r="N35" s="15">
        <f>VLOOKUP($A$33,'集計'!$A$4:$EP$61,52,FALSE)</f>
        <v>5</v>
      </c>
      <c r="O35" s="16">
        <f>VLOOKUP($A$33,'集計'!$A$4:$EP$61,56,FALSE)</f>
        <v>18.1</v>
      </c>
      <c r="P35" s="15">
        <f>VLOOKUP($A$33,'集計'!$A$4:$EP$61,60,FALSE)</f>
        <v>1</v>
      </c>
      <c r="Q35" s="16">
        <f>VLOOKUP($A$33,'集計'!$A$4:$EP$61,64,FALSE)</f>
        <v>0.3</v>
      </c>
      <c r="R35" s="15">
        <f>VLOOKUP($A$33,'集計'!$A$4:$EP$61,68,FALSE)</f>
        <v>965</v>
      </c>
      <c r="S35" s="16">
        <f>VLOOKUP($A$33,'集計'!$A$4:$EP$61,72,FALSE)</f>
        <v>2014.21</v>
      </c>
      <c r="T35" s="36" t="s">
        <v>23</v>
      </c>
      <c r="U35" s="15">
        <f>VLOOKUP($A$33,'集計'!$A$4:$EP$61,76,FALSE)</f>
        <v>607</v>
      </c>
      <c r="V35" s="16">
        <f>VLOOKUP($A$33,'集計'!$A$4:$EP$61,80,FALSE)</f>
        <v>157.99</v>
      </c>
      <c r="W35" s="15">
        <f>VLOOKUP($A$33,'集計'!$A$4:$EP$61,84,FALSE)</f>
        <v>149</v>
      </c>
      <c r="X35" s="16">
        <f>VLOOKUP($A$33,'集計'!$A$4:$EP$61,88,FALSE)</f>
        <v>333.1</v>
      </c>
      <c r="Y35" s="15">
        <f>VLOOKUP($A$33,'集計'!$A$4:$EP$61,92,FALSE)</f>
        <v>45</v>
      </c>
      <c r="Z35" s="16">
        <f>VLOOKUP($A$33,'集計'!$A$4:$EP$61,96,FALSE)</f>
        <v>246</v>
      </c>
      <c r="AA35" s="15">
        <f>VLOOKUP($A$33,'集計'!$A$4:$EP$61,100,FALSE)</f>
        <v>23</v>
      </c>
      <c r="AB35" s="16">
        <f>VLOOKUP($A$33,'集計'!$A$4:$EP$61,104,FALSE)</f>
        <v>443.9</v>
      </c>
      <c r="AC35" s="15">
        <f>VLOOKUP($A$33,'集計'!$A$4:$EP$61,108,FALSE)</f>
        <v>11</v>
      </c>
      <c r="AD35" s="16">
        <f>VLOOKUP($A$33,'集計'!$A$4:$EP$61,112,FALSE)</f>
        <v>168.5</v>
      </c>
      <c r="AE35" s="15">
        <f>VLOOKUP($A$33,'集計'!$A$4:$EP$61,116,FALSE)</f>
        <v>8</v>
      </c>
      <c r="AF35" s="16">
        <f>VLOOKUP($A$33,'集計'!$A$4:$EP$61,120,FALSE)</f>
        <v>80.9</v>
      </c>
      <c r="AG35" s="15">
        <f>VLOOKUP($A$33,'集計'!$A$4:$EP$61,124,FALSE)</f>
        <v>1</v>
      </c>
      <c r="AH35" s="16">
        <f>VLOOKUP($A$33,'集計'!$A$4:$EP$61,128,FALSE)</f>
        <v>0.1</v>
      </c>
      <c r="AI35" s="15">
        <f>VLOOKUP($A$33,'集計'!$A$4:$EP$61,132,FALSE)</f>
        <v>1</v>
      </c>
      <c r="AJ35" s="16">
        <f>VLOOKUP($A$33,'集計'!$A$4:$EP$61,136,FALSE)</f>
        <v>0.3</v>
      </c>
      <c r="AK35" s="15">
        <f>VLOOKUP($A$33,'集計'!$A$4:$EP$61,140,FALSE)</f>
        <v>845</v>
      </c>
      <c r="AL35" s="16">
        <f>VLOOKUP($A$33,'集計'!$A$4:$EP$61,144,FALSE)</f>
        <v>1430.79</v>
      </c>
    </row>
    <row r="36" spans="1:38" s="18" customFormat="1" ht="16.5" customHeight="1">
      <c r="A36" s="36" t="s">
        <v>24</v>
      </c>
      <c r="B36" s="15">
        <f>VLOOKUP($A$33,'集計'!$A$4:$EP$61,5,FALSE)</f>
        <v>207</v>
      </c>
      <c r="C36" s="16">
        <f>VLOOKUP($A$33,'集計'!$A$4:$EP$61,9,FALSE)</f>
        <v>52.28</v>
      </c>
      <c r="D36" s="15">
        <f>VLOOKUP($A$33,'集計'!$A$4:$EP$61,13,FALSE)</f>
        <v>77</v>
      </c>
      <c r="E36" s="16">
        <f>VLOOKUP($A$33,'集計'!$A$4:$EP$61,17,FALSE)</f>
        <v>178.3</v>
      </c>
      <c r="F36" s="15">
        <f>VLOOKUP($A$33,'集計'!$A$4:$EP$61,21,FALSE)</f>
        <v>59</v>
      </c>
      <c r="G36" s="16">
        <f>VLOOKUP($A$33,'集計'!$A$4:$EP$61,25,FALSE)</f>
        <v>394.2</v>
      </c>
      <c r="H36" s="15">
        <f>VLOOKUP($A$33,'集計'!$A$4:$EP$61,29,FALSE)</f>
        <v>88</v>
      </c>
      <c r="I36" s="16">
        <f>VLOOKUP($A$33,'集計'!$A$4:$EP$61,33,FALSE)</f>
        <v>2350.6</v>
      </c>
      <c r="J36" s="15">
        <f>VLOOKUP($A$33,'集計'!$A$4:$EP$61,37,FALSE)</f>
        <v>27</v>
      </c>
      <c r="K36" s="16">
        <f>VLOOKUP($A$33,'集計'!$A$4:$EP$61,41,FALSE)</f>
        <v>542.3</v>
      </c>
      <c r="L36" s="15">
        <f>VLOOKUP($A$33,'集計'!$A$4:$EP$61,45,FALSE)</f>
        <v>46</v>
      </c>
      <c r="M36" s="16">
        <f>VLOOKUP($A$33,'集計'!$A$4:$EP$61,49,FALSE)</f>
        <v>1083.9</v>
      </c>
      <c r="N36" s="15">
        <f>VLOOKUP($A$33,'集計'!$A$4:$EP$61,53,FALSE)</f>
        <v>5</v>
      </c>
      <c r="O36" s="16">
        <f>VLOOKUP($A$33,'集計'!$A$4:$EP$61,57,FALSE)</f>
        <v>199.7</v>
      </c>
      <c r="P36" s="15">
        <f>VLOOKUP($A$33,'集計'!$A$4:$EP$61,61,FALSE)</f>
        <v>23</v>
      </c>
      <c r="Q36" s="16">
        <f>VLOOKUP($A$33,'集計'!$A$4:$EP$61,65,FALSE)</f>
        <v>3888.9</v>
      </c>
      <c r="R36" s="15">
        <f>VLOOKUP($A$33,'集計'!$A$4:$EP$61,69,FALSE)</f>
        <v>532</v>
      </c>
      <c r="S36" s="16">
        <f>VLOOKUP($A$33,'集計'!$A$4:$EP$61,73,FALSE)</f>
        <v>8690.18</v>
      </c>
      <c r="T36" s="36" t="s">
        <v>24</v>
      </c>
      <c r="U36" s="15">
        <f>VLOOKUP($A$33,'集計'!$A$4:$EP$61,77,FALSE)</f>
        <v>208</v>
      </c>
      <c r="V36" s="16">
        <f>VLOOKUP($A$33,'集計'!$A$4:$EP$61,81,FALSE)</f>
        <v>50.06</v>
      </c>
      <c r="W36" s="15">
        <f>VLOOKUP($A$33,'集計'!$A$4:$EP$61,85,FALSE)</f>
        <v>44</v>
      </c>
      <c r="X36" s="16">
        <f>VLOOKUP($A$33,'集計'!$A$4:$EP$61,89,FALSE)</f>
        <v>87.76</v>
      </c>
      <c r="Y36" s="15">
        <f>VLOOKUP($A$33,'集計'!$A$4:$EP$61,93,FALSE)</f>
        <v>44</v>
      </c>
      <c r="Z36" s="16">
        <f>VLOOKUP($A$33,'集計'!$A$4:$EP$61,97,FALSE)</f>
        <v>218.91</v>
      </c>
      <c r="AA36" s="15">
        <f>VLOOKUP($A$33,'集計'!$A$4:$EP$61,101,FALSE)</f>
        <v>76</v>
      </c>
      <c r="AB36" s="16">
        <f>VLOOKUP($A$33,'集計'!$A$4:$EP$61,105,FALSE)</f>
        <v>1336</v>
      </c>
      <c r="AC36" s="15">
        <f>VLOOKUP($A$33,'集計'!$A$4:$EP$61,109,FALSE)</f>
        <v>25</v>
      </c>
      <c r="AD36" s="16">
        <f>VLOOKUP($A$33,'集計'!$A$4:$EP$61,113,FALSE)</f>
        <v>371.9</v>
      </c>
      <c r="AE36" s="15">
        <f>VLOOKUP($A$33,'集計'!$A$4:$EP$61,117,FALSE)</f>
        <v>33</v>
      </c>
      <c r="AF36" s="16">
        <f>VLOOKUP($A$33,'集計'!$A$4:$EP$61,121,FALSE)</f>
        <v>381.7</v>
      </c>
      <c r="AG36" s="15">
        <f>VLOOKUP($A$33,'集計'!$A$4:$EP$61,125,FALSE)</f>
        <v>6</v>
      </c>
      <c r="AH36" s="16">
        <f>VLOOKUP($A$33,'集計'!$A$4:$EP$61,129,FALSE)</f>
        <v>60.9</v>
      </c>
      <c r="AI36" s="15">
        <f>VLOOKUP($A$33,'集計'!$A$4:$EP$61,133,FALSE)</f>
        <v>21</v>
      </c>
      <c r="AJ36" s="16">
        <f>VLOOKUP($A$33,'集計'!$A$4:$EP$61,137,FALSE)</f>
        <v>2347.4</v>
      </c>
      <c r="AK36" s="15">
        <f>VLOOKUP($A$33,'集計'!$A$4:$EP$61,141,FALSE)</f>
        <v>457</v>
      </c>
      <c r="AL36" s="16">
        <f>VLOOKUP($A$33,'集計'!$A$4:$EP$61,145,FALSE)</f>
        <v>4854.63</v>
      </c>
    </row>
    <row r="37" spans="1:38" s="18" customFormat="1" ht="16.5" customHeight="1">
      <c r="A37" s="31" t="s">
        <v>79</v>
      </c>
      <c r="B37" s="15">
        <f>VLOOKUP($A$37,'集計'!$A$4:$EP$61,6,FALSE)</f>
        <v>2212</v>
      </c>
      <c r="C37" s="16">
        <f>VLOOKUP($A$37,'集計'!$A$4:$EP$61,10,FALSE)</f>
        <v>502.14</v>
      </c>
      <c r="D37" s="15">
        <f>VLOOKUP($A$37,'集計'!$A$4:$EP$61,14,FALSE)</f>
        <v>205</v>
      </c>
      <c r="E37" s="16">
        <f>VLOOKUP($A$37,'集計'!$A$4:$EP$61,18,FALSE)</f>
        <v>517.21</v>
      </c>
      <c r="F37" s="15">
        <f>VLOOKUP($A$37,'集計'!$A$4:$EP$61,22,FALSE)</f>
        <v>74</v>
      </c>
      <c r="G37" s="16">
        <f>VLOOKUP($A$37,'集計'!$A$4:$EP$61,26,FALSE)</f>
        <v>500.5</v>
      </c>
      <c r="H37" s="15">
        <f>VLOOKUP($A$37,'集計'!$A$4:$EP$61,30,FALSE)</f>
        <v>94</v>
      </c>
      <c r="I37" s="16">
        <f>VLOOKUP($A$37,'集計'!$A$4:$EP$61,34,FALSE)</f>
        <v>2789.9</v>
      </c>
      <c r="J37" s="15">
        <f>VLOOKUP($A$37,'集計'!$A$4:$EP$61,38,FALSE)</f>
        <v>60</v>
      </c>
      <c r="K37" s="16">
        <f>VLOOKUP($A$37,'集計'!$A$4:$EP$61,42,FALSE)</f>
        <v>1098.58</v>
      </c>
      <c r="L37" s="15">
        <f>VLOOKUP($A$37,'集計'!$A$4:$EP$61,46,FALSE)</f>
        <v>27</v>
      </c>
      <c r="M37" s="16">
        <f>VLOOKUP($A$37,'集計'!$A$4:$EP$61,50,FALSE)</f>
        <v>1101</v>
      </c>
      <c r="N37" s="15">
        <f>VLOOKUP($A$37,'集計'!$A$4:$EP$61,54,FALSE)</f>
        <v>34</v>
      </c>
      <c r="O37" s="16">
        <f>VLOOKUP($A$37,'集計'!$A$4:$EP$61,58,FALSE)</f>
        <v>477.9</v>
      </c>
      <c r="P37" s="15">
        <f>VLOOKUP($A$37,'集計'!$A$4:$EP$61,62,FALSE)</f>
        <v>17</v>
      </c>
      <c r="Q37" s="16">
        <f>VLOOKUP($A$37,'集計'!$A$4:$EP$61,66,FALSE)</f>
        <v>2149.4</v>
      </c>
      <c r="R37" s="15">
        <f>VLOOKUP($A$37,'集計'!$A$4:$EP$61,70,FALSE)</f>
        <v>2723</v>
      </c>
      <c r="S37" s="16">
        <f>VLOOKUP($A$37,'集計'!$A$4:$EP$61,74,FALSE)</f>
        <v>9136.63</v>
      </c>
      <c r="T37" s="31" t="s">
        <v>79</v>
      </c>
      <c r="U37" s="15">
        <f>VLOOKUP($A$37,'集計'!$A$4:$EP$61,78,FALSE)</f>
        <v>2113</v>
      </c>
      <c r="V37" s="16">
        <f>VLOOKUP($A$37,'集計'!$A$4:$EP$61,82,FALSE)</f>
        <v>463.78</v>
      </c>
      <c r="W37" s="15">
        <f>VLOOKUP($A$37,'集計'!$A$4:$EP$61,86,FALSE)</f>
        <v>171</v>
      </c>
      <c r="X37" s="16">
        <f>VLOOKUP($A$37,'集計'!$A$4:$EP$61,90,FALSE)</f>
        <v>368.85</v>
      </c>
      <c r="Y37" s="15">
        <f>VLOOKUP($A$37,'集計'!$A$4:$EP$61,94,FALSE)</f>
        <v>70</v>
      </c>
      <c r="Z37" s="16">
        <f>VLOOKUP($A$37,'集計'!$A$4:$EP$61,98,FALSE)</f>
        <v>439.48</v>
      </c>
      <c r="AA37" s="15">
        <f>VLOOKUP($A$37,'集計'!$A$4:$EP$61,102,FALSE)</f>
        <v>91</v>
      </c>
      <c r="AB37" s="16">
        <f>VLOOKUP($A$37,'集計'!$A$4:$EP$61,106,FALSE)</f>
        <v>1677.95</v>
      </c>
      <c r="AC37" s="15">
        <f>VLOOKUP($A$37,'集計'!$A$4:$EP$61,110,FALSE)</f>
        <v>59</v>
      </c>
      <c r="AD37" s="16">
        <f>VLOOKUP($A$37,'集計'!$A$4:$EP$61,114,FALSE)</f>
        <v>858.48</v>
      </c>
      <c r="AE37" s="15">
        <f>VLOOKUP($A$37,'集計'!$A$4:$EP$61,118,FALSE)</f>
        <v>23</v>
      </c>
      <c r="AF37" s="16">
        <f>VLOOKUP($A$37,'集計'!$A$4:$EP$61,122,FALSE)</f>
        <v>900.22</v>
      </c>
      <c r="AG37" s="15">
        <f>VLOOKUP($A$37,'集計'!$A$4:$EP$61,126,FALSE)</f>
        <v>33</v>
      </c>
      <c r="AH37" s="16">
        <f>VLOOKUP($A$37,'集計'!$A$4:$EP$61,130,FALSE)</f>
        <v>278.7</v>
      </c>
      <c r="AI37" s="15">
        <f>VLOOKUP($A$37,'集計'!$A$4:$EP$61,134,FALSE)</f>
        <v>16</v>
      </c>
      <c r="AJ37" s="16">
        <f>VLOOKUP($A$37,'集計'!$A$4:$EP$61,138,FALSE)</f>
        <v>1352.9</v>
      </c>
      <c r="AK37" s="15">
        <f>VLOOKUP($A$37,'集計'!$A$4:$EP$61,142,FALSE)</f>
        <v>2576</v>
      </c>
      <c r="AL37" s="16">
        <f>VLOOKUP($A$37,'集計'!$A$4:$EP$61,146,FALSE)</f>
        <v>6340.36</v>
      </c>
    </row>
    <row r="38" spans="1:38" s="18" customFormat="1" ht="16.5" customHeight="1">
      <c r="A38" s="36" t="s">
        <v>22</v>
      </c>
      <c r="B38" s="15">
        <f>VLOOKUP($A$37,'集計'!$A$4:$EP$61,3,FALSE)</f>
        <v>1589</v>
      </c>
      <c r="C38" s="16">
        <f>VLOOKUP($A$37,'集計'!$A$4:$EP$61,7,FALSE)</f>
        <v>347.17</v>
      </c>
      <c r="D38" s="15">
        <f>VLOOKUP($A$37,'集計'!$A$4:$EP$61,11,FALSE)</f>
        <v>116</v>
      </c>
      <c r="E38" s="16">
        <f>VLOOKUP($A$37,'集計'!$A$4:$EP$61,15,FALSE)</f>
        <v>271.9</v>
      </c>
      <c r="F38" s="15">
        <f>VLOOKUP($A$37,'集計'!$A$4:$EP$61,19,FALSE)</f>
        <v>27</v>
      </c>
      <c r="G38" s="16">
        <f>VLOOKUP($A$37,'集計'!$A$4:$EP$61,23,FALSE)</f>
        <v>158.2</v>
      </c>
      <c r="H38" s="15">
        <f>VLOOKUP($A$37,'集計'!$A$4:$EP$61,27,FALSE)</f>
        <v>23</v>
      </c>
      <c r="I38" s="16">
        <f>VLOOKUP($A$37,'集計'!$A$4:$EP$61,31,FALSE)</f>
        <v>528.5</v>
      </c>
      <c r="J38" s="15">
        <f>VLOOKUP($A$37,'集計'!$A$4:$EP$61,35,FALSE)</f>
        <v>14</v>
      </c>
      <c r="K38" s="16">
        <f>VLOOKUP($A$37,'集計'!$A$4:$EP$61,39,FALSE)</f>
        <v>196.7</v>
      </c>
      <c r="L38" s="15">
        <f>VLOOKUP($A$37,'集計'!$A$4:$EP$61,43,FALSE)</f>
        <v>5</v>
      </c>
      <c r="M38" s="16">
        <f>VLOOKUP($A$37,'集計'!$A$4:$EP$61,47,FALSE)</f>
        <v>203.5</v>
      </c>
      <c r="N38" s="15">
        <f>VLOOKUP($A$37,'集計'!$A$4:$EP$61,51,FALSE)</f>
        <v>14</v>
      </c>
      <c r="O38" s="16">
        <f>VLOOKUP($A$37,'集計'!$A$4:$EP$61,55,FALSE)</f>
        <v>87.1</v>
      </c>
      <c r="P38" s="15">
        <f>VLOOKUP($A$37,'集計'!$A$4:$EP$61,59,FALSE)</f>
        <v>1</v>
      </c>
      <c r="Q38" s="16">
        <f>VLOOKUP($A$37,'集計'!$A$4:$EP$61,63,FALSE)</f>
        <v>67</v>
      </c>
      <c r="R38" s="15">
        <f>VLOOKUP($A$37,'集計'!$A$4:$EP$61,67,FALSE)</f>
        <v>1789</v>
      </c>
      <c r="S38" s="16">
        <f>VLOOKUP($A$37,'集計'!$A$4:$EP$61,71,FALSE)</f>
        <v>1860.07</v>
      </c>
      <c r="T38" s="36" t="s">
        <v>22</v>
      </c>
      <c r="U38" s="15">
        <f>VLOOKUP($A$37,'集計'!$A$4:$EP$61,75,FALSE)</f>
        <v>1531</v>
      </c>
      <c r="V38" s="16">
        <f>VLOOKUP($A$37,'集計'!$A$4:$EP$61,79,FALSE)</f>
        <v>320.81</v>
      </c>
      <c r="W38" s="15">
        <f>VLOOKUP($A$37,'集計'!$A$4:$EP$61,83,FALSE)</f>
        <v>98</v>
      </c>
      <c r="X38" s="16">
        <f>VLOOKUP($A$37,'集計'!$A$4:$EP$61,87,FALSE)</f>
        <v>207.3</v>
      </c>
      <c r="Y38" s="15">
        <f>VLOOKUP($A$37,'集計'!$A$4:$EP$61,91,FALSE)</f>
        <v>26</v>
      </c>
      <c r="Z38" s="16">
        <f>VLOOKUP($A$37,'集計'!$A$4:$EP$61,95,FALSE)</f>
        <v>142.7</v>
      </c>
      <c r="AA38" s="15">
        <f>VLOOKUP($A$37,'集計'!$A$4:$EP$61,99,FALSE)</f>
        <v>23</v>
      </c>
      <c r="AB38" s="16">
        <f>VLOOKUP($A$37,'集計'!$A$4:$EP$61,103,FALSE)</f>
        <v>454.6</v>
      </c>
      <c r="AC38" s="15">
        <f>VLOOKUP($A$37,'集計'!$A$4:$EP$61,107,FALSE)</f>
        <v>15</v>
      </c>
      <c r="AD38" s="16">
        <f>VLOOKUP($A$37,'集計'!$A$4:$EP$61,111,FALSE)</f>
        <v>183</v>
      </c>
      <c r="AE38" s="15">
        <f>VLOOKUP($A$37,'集計'!$A$4:$EP$61,115,FALSE)</f>
        <v>4</v>
      </c>
      <c r="AF38" s="16">
        <f>VLOOKUP($A$37,'集計'!$A$4:$EP$61,119,FALSE)</f>
        <v>89.6</v>
      </c>
      <c r="AG38" s="15">
        <f>VLOOKUP($A$37,'集計'!$A$4:$EP$61,123,FALSE)</f>
        <v>13</v>
      </c>
      <c r="AH38" s="16">
        <f>VLOOKUP($A$37,'集計'!$A$4:$EP$61,127,FALSE)</f>
        <v>73.3</v>
      </c>
      <c r="AI38" s="15">
        <f>VLOOKUP($A$37,'集計'!$A$4:$EP$61,131,FALSE)</f>
        <v>1</v>
      </c>
      <c r="AJ38" s="16">
        <f>VLOOKUP($A$37,'集計'!$A$4:$EP$61,135,FALSE)</f>
        <v>43.5</v>
      </c>
      <c r="AK38" s="15">
        <f>VLOOKUP($A$37,'集計'!$A$4:$EP$61,139,FALSE)</f>
        <v>1711</v>
      </c>
      <c r="AL38" s="16">
        <f>VLOOKUP($A$37,'集計'!$A$4:$EP$61,143,FALSE)</f>
        <v>1514.81</v>
      </c>
    </row>
    <row r="39" spans="1:38" s="18" customFormat="1" ht="16.5" customHeight="1">
      <c r="A39" s="36" t="s">
        <v>23</v>
      </c>
      <c r="B39" s="15">
        <f>VLOOKUP($A$37,'集計'!$A$4:$EP$61,4,FALSE)</f>
        <v>509</v>
      </c>
      <c r="C39" s="16">
        <f>VLOOKUP($A$37,'集計'!$A$4:$EP$61,8,FALSE)</f>
        <v>121.25</v>
      </c>
      <c r="D39" s="15">
        <f>VLOOKUP($A$37,'集計'!$A$4:$EP$61,(12),FALSE)</f>
        <v>62</v>
      </c>
      <c r="E39" s="16">
        <f>VLOOKUP($A$37,'集計'!$A$4:$EP$61,16,FALSE)</f>
        <v>168.01</v>
      </c>
      <c r="F39" s="15">
        <f>VLOOKUP($A$37,'集計'!$A$4:$EP$61,20,FALSE)</f>
        <v>19</v>
      </c>
      <c r="G39" s="16">
        <f>VLOOKUP($A$37,'集計'!$A$4:$EP$61,24,FALSE)</f>
        <v>121.4</v>
      </c>
      <c r="H39" s="15">
        <f>VLOOKUP($A$37,'集計'!$A$4:$EP$61,28,FALSE)</f>
        <v>17</v>
      </c>
      <c r="I39" s="16">
        <f>VLOOKUP($A$37,'集計'!$A$4:$EP$61,32,FALSE)</f>
        <v>384.6</v>
      </c>
      <c r="J39" s="15">
        <f>VLOOKUP($A$37,'集計'!$A$4:$EP$61,36,FALSE)</f>
        <v>13</v>
      </c>
      <c r="K39" s="16">
        <f>VLOOKUP($A$37,'集計'!$A$4:$EP$61,40,FALSE)</f>
        <v>218.6</v>
      </c>
      <c r="L39" s="15">
        <f>VLOOKUP($A$37,'集計'!$A$4:$EP$61,44,FALSE)</f>
        <v>2</v>
      </c>
      <c r="M39" s="16">
        <f>VLOOKUP($A$37,'集計'!$A$4:$EP$61,48,FALSE)</f>
        <v>4.9</v>
      </c>
      <c r="N39" s="15">
        <f>VLOOKUP($A$37,'集計'!$A$4:$EP$61,52,FALSE)</f>
        <v>4</v>
      </c>
      <c r="O39" s="16">
        <f>VLOOKUP($A$37,'集計'!$A$4:$EP$61,56,FALSE)</f>
        <v>15.1</v>
      </c>
      <c r="P39" s="15">
        <f>VLOOKUP($A$37,'集計'!$A$4:$EP$61,60,FALSE)</f>
        <v>1</v>
      </c>
      <c r="Q39" s="16">
        <f>VLOOKUP($A$37,'集計'!$A$4:$EP$61,64,FALSE)</f>
        <v>59.9</v>
      </c>
      <c r="R39" s="15">
        <f>VLOOKUP($A$37,'集計'!$A$4:$EP$61,68,FALSE)</f>
        <v>627</v>
      </c>
      <c r="S39" s="16">
        <f>VLOOKUP($A$37,'集計'!$A$4:$EP$61,72,FALSE)</f>
        <v>1093.76</v>
      </c>
      <c r="T39" s="36" t="s">
        <v>23</v>
      </c>
      <c r="U39" s="15">
        <f>VLOOKUP($A$37,'集計'!$A$4:$EP$61,76,FALSE)</f>
        <v>478</v>
      </c>
      <c r="V39" s="16">
        <f>VLOOKUP($A$37,'集計'!$A$4:$EP$61,80,FALSE)</f>
        <v>112.62</v>
      </c>
      <c r="W39" s="15">
        <f>VLOOKUP($A$37,'集計'!$A$4:$EP$61,84,FALSE)</f>
        <v>50</v>
      </c>
      <c r="X39" s="16">
        <f>VLOOKUP($A$37,'集計'!$A$4:$EP$61,88,FALSE)</f>
        <v>101.15</v>
      </c>
      <c r="Y39" s="15">
        <f>VLOOKUP($A$37,'集計'!$A$4:$EP$61,92,FALSE)</f>
        <v>17</v>
      </c>
      <c r="Z39" s="16">
        <f>VLOOKUP($A$37,'集計'!$A$4:$EP$61,96,FALSE)</f>
        <v>95.5</v>
      </c>
      <c r="AA39" s="15">
        <f>VLOOKUP($A$37,'集計'!$A$4:$EP$61,100,FALSE)</f>
        <v>15</v>
      </c>
      <c r="AB39" s="16">
        <f>VLOOKUP($A$37,'集計'!$A$4:$EP$61,104,FALSE)</f>
        <v>283.6</v>
      </c>
      <c r="AC39" s="15">
        <f>VLOOKUP($A$37,'集計'!$A$4:$EP$61,108,FALSE)</f>
        <v>11</v>
      </c>
      <c r="AD39" s="16">
        <f>VLOOKUP($A$37,'集計'!$A$4:$EP$61,112,FALSE)</f>
        <v>191.7</v>
      </c>
      <c r="AE39" s="15">
        <f>VLOOKUP($A$37,'集計'!$A$4:$EP$61,116,FALSE)</f>
        <v>2</v>
      </c>
      <c r="AF39" s="16">
        <f>VLOOKUP($A$37,'集計'!$A$4:$EP$61,120,FALSE)</f>
        <v>4.9</v>
      </c>
      <c r="AG39" s="15">
        <f>VLOOKUP($A$37,'集計'!$A$4:$EP$61,124,FALSE)</f>
        <v>4</v>
      </c>
      <c r="AH39" s="16">
        <f>VLOOKUP($A$37,'集計'!$A$4:$EP$61,128,FALSE)</f>
        <v>15.1</v>
      </c>
      <c r="AI39" s="15">
        <f>VLOOKUP($A$37,'集計'!$A$4:$EP$61,132,FALSE)</f>
        <v>1</v>
      </c>
      <c r="AJ39" s="16">
        <f>VLOOKUP($A$37,'集計'!$A$4:$EP$61,136,FALSE)</f>
        <v>59.9</v>
      </c>
      <c r="AK39" s="15">
        <f>VLOOKUP($A$37,'集計'!$A$4:$EP$61,140,FALSE)</f>
        <v>578</v>
      </c>
      <c r="AL39" s="16">
        <f>VLOOKUP($A$37,'集計'!$A$4:$EP$61,144,FALSE)</f>
        <v>864.47</v>
      </c>
    </row>
    <row r="40" spans="1:38" s="18" customFormat="1" ht="16.5" customHeight="1">
      <c r="A40" s="36" t="s">
        <v>24</v>
      </c>
      <c r="B40" s="15">
        <f>VLOOKUP($A$37,'集計'!$A$4:$EP$61,5,FALSE)</f>
        <v>114</v>
      </c>
      <c r="C40" s="16">
        <f>VLOOKUP($A$37,'集計'!$A$4:$EP$61,9,FALSE)</f>
        <v>33.72</v>
      </c>
      <c r="D40" s="15">
        <f>VLOOKUP($A$37,'集計'!$A$4:$EP$61,13,FALSE)</f>
        <v>27</v>
      </c>
      <c r="E40" s="16">
        <f>VLOOKUP($A$37,'集計'!$A$4:$EP$61,17,FALSE)</f>
        <v>77.3</v>
      </c>
      <c r="F40" s="15">
        <f>VLOOKUP($A$37,'集計'!$A$4:$EP$61,21,FALSE)</f>
        <v>28</v>
      </c>
      <c r="G40" s="16">
        <f>VLOOKUP($A$37,'集計'!$A$4:$EP$61,25,FALSE)</f>
        <v>220.9</v>
      </c>
      <c r="H40" s="15">
        <f>VLOOKUP($A$37,'集計'!$A$4:$EP$61,29,FALSE)</f>
        <v>54</v>
      </c>
      <c r="I40" s="16">
        <f>VLOOKUP($A$37,'集計'!$A$4:$EP$61,33,FALSE)</f>
        <v>1876.8</v>
      </c>
      <c r="J40" s="15">
        <f>VLOOKUP($A$37,'集計'!$A$4:$EP$61,37,FALSE)</f>
        <v>33</v>
      </c>
      <c r="K40" s="16">
        <f>VLOOKUP($A$37,'集計'!$A$4:$EP$61,41,FALSE)</f>
        <v>683.28</v>
      </c>
      <c r="L40" s="15">
        <f>VLOOKUP($A$37,'集計'!$A$4:$EP$61,45,FALSE)</f>
        <v>20</v>
      </c>
      <c r="M40" s="16">
        <f>VLOOKUP($A$37,'集計'!$A$4:$EP$61,49,FALSE)</f>
        <v>892.6</v>
      </c>
      <c r="N40" s="15">
        <f>VLOOKUP($A$37,'集計'!$A$4:$EP$61,53,FALSE)</f>
        <v>16</v>
      </c>
      <c r="O40" s="16">
        <f>VLOOKUP($A$37,'集計'!$A$4:$EP$61,57,FALSE)</f>
        <v>375.7</v>
      </c>
      <c r="P40" s="15">
        <f>VLOOKUP($A$37,'集計'!$A$4:$EP$61,61,FALSE)</f>
        <v>15</v>
      </c>
      <c r="Q40" s="16">
        <f>VLOOKUP($A$37,'集計'!$A$4:$EP$61,65,FALSE)</f>
        <v>2022.5</v>
      </c>
      <c r="R40" s="15">
        <f>VLOOKUP($A$37,'集計'!$A$4:$EP$61,69,FALSE)</f>
        <v>307</v>
      </c>
      <c r="S40" s="16">
        <f>VLOOKUP($A$37,'集計'!$A$4:$EP$61,73,FALSE)</f>
        <v>6182.8</v>
      </c>
      <c r="T40" s="36" t="s">
        <v>24</v>
      </c>
      <c r="U40" s="15">
        <f>VLOOKUP($A$37,'集計'!$A$4:$EP$61,77,FALSE)</f>
        <v>104</v>
      </c>
      <c r="V40" s="16">
        <f>VLOOKUP($A$37,'集計'!$A$4:$EP$61,81,FALSE)</f>
        <v>30.35</v>
      </c>
      <c r="W40" s="15">
        <f>VLOOKUP($A$37,'集計'!$A$4:$EP$61,85,FALSE)</f>
        <v>23</v>
      </c>
      <c r="X40" s="16">
        <f>VLOOKUP($A$37,'集計'!$A$4:$EP$61,89,FALSE)</f>
        <v>60.4</v>
      </c>
      <c r="Y40" s="15">
        <f>VLOOKUP($A$37,'集計'!$A$4:$EP$61,93,FALSE)</f>
        <v>27</v>
      </c>
      <c r="Z40" s="16">
        <f>VLOOKUP($A$37,'集計'!$A$4:$EP$61,97,FALSE)</f>
        <v>201.28</v>
      </c>
      <c r="AA40" s="15">
        <f>VLOOKUP($A$37,'集計'!$A$4:$EP$61,101,FALSE)</f>
        <v>53</v>
      </c>
      <c r="AB40" s="16">
        <f>VLOOKUP($A$37,'集計'!$A$4:$EP$61,105,FALSE)</f>
        <v>939.75</v>
      </c>
      <c r="AC40" s="15">
        <f>VLOOKUP($A$37,'集計'!$A$4:$EP$61,109,FALSE)</f>
        <v>33</v>
      </c>
      <c r="AD40" s="16">
        <f>VLOOKUP($A$37,'集計'!$A$4:$EP$61,113,FALSE)</f>
        <v>483.78</v>
      </c>
      <c r="AE40" s="15">
        <f>VLOOKUP($A$37,'集計'!$A$4:$EP$61,117,FALSE)</f>
        <v>17</v>
      </c>
      <c r="AF40" s="16">
        <f>VLOOKUP($A$37,'集計'!$A$4:$EP$61,121,FALSE)</f>
        <v>805.72</v>
      </c>
      <c r="AG40" s="15">
        <f>VLOOKUP($A$37,'集計'!$A$4:$EP$61,125,FALSE)</f>
        <v>16</v>
      </c>
      <c r="AH40" s="16">
        <f>VLOOKUP($A$37,'集計'!$A$4:$EP$61,129,FALSE)</f>
        <v>190.3</v>
      </c>
      <c r="AI40" s="15">
        <f>VLOOKUP($A$37,'集計'!$A$4:$EP$61,133,FALSE)</f>
        <v>14</v>
      </c>
      <c r="AJ40" s="16">
        <f>VLOOKUP($A$37,'集計'!$A$4:$EP$61,137,FALSE)</f>
        <v>1249.5</v>
      </c>
      <c r="AK40" s="15">
        <f>VLOOKUP($A$37,'集計'!$A$4:$EP$61,141,FALSE)</f>
        <v>287</v>
      </c>
      <c r="AL40" s="16">
        <f>VLOOKUP($A$37,'集計'!$A$4:$EP$61,145,FALSE)</f>
        <v>3961.08</v>
      </c>
    </row>
    <row r="41" spans="1:38" s="18" customFormat="1" ht="16.5" customHeight="1">
      <c r="A41" s="31" t="s">
        <v>80</v>
      </c>
      <c r="B41" s="15">
        <f>VLOOKUP($A$41,'集計'!$A$4:$EP$61,6,FALSE)</f>
        <v>582</v>
      </c>
      <c r="C41" s="16">
        <f>VLOOKUP($A$41,'集計'!$A$4:$EP$61,10,FALSE)</f>
        <v>130.86</v>
      </c>
      <c r="D41" s="15">
        <f>VLOOKUP($A$41,'集計'!$A$4:$EP$61,14,FALSE)</f>
        <v>106</v>
      </c>
      <c r="E41" s="16">
        <f>VLOOKUP($A$41,'集計'!$A$4:$EP$61,18,FALSE)</f>
        <v>193.1</v>
      </c>
      <c r="F41" s="15">
        <f>VLOOKUP($A$41,'集計'!$A$4:$EP$61,22,FALSE)</f>
        <v>45</v>
      </c>
      <c r="G41" s="16">
        <f>VLOOKUP($A$41,'集計'!$A$4:$EP$61,26,FALSE)</f>
        <v>254</v>
      </c>
      <c r="H41" s="15">
        <f>VLOOKUP($A$41,'集計'!$A$4:$EP$61,30,FALSE)</f>
        <v>48</v>
      </c>
      <c r="I41" s="16">
        <f>VLOOKUP($A$41,'集計'!$A$4:$EP$61,34,FALSE)</f>
        <v>1737.5</v>
      </c>
      <c r="J41" s="15">
        <f>VLOOKUP($A$41,'集計'!$A$4:$EP$61,38,FALSE)</f>
        <v>24</v>
      </c>
      <c r="K41" s="16">
        <f>VLOOKUP($A$41,'集計'!$A$4:$EP$61,42,FALSE)</f>
        <v>515.7</v>
      </c>
      <c r="L41" s="15">
        <f>VLOOKUP($A$41,'集計'!$A$4:$EP$61,46,FALSE)</f>
        <v>27</v>
      </c>
      <c r="M41" s="16">
        <f>VLOOKUP($A$41,'集計'!$A$4:$EP$61,50,FALSE)</f>
        <v>642.9</v>
      </c>
      <c r="N41" s="15">
        <f>VLOOKUP($A$41,'集計'!$A$4:$EP$61,54,FALSE)</f>
        <v>13</v>
      </c>
      <c r="O41" s="16">
        <f>VLOOKUP($A$41,'集計'!$A$4:$EP$61,58,FALSE)</f>
        <v>257.82</v>
      </c>
      <c r="P41" s="15">
        <f>VLOOKUP($A$41,'集計'!$A$4:$EP$61,62,FALSE)</f>
        <v>11</v>
      </c>
      <c r="Q41" s="16">
        <f>VLOOKUP($A$41,'集計'!$A$4:$EP$61,66,FALSE)</f>
        <v>1413.7</v>
      </c>
      <c r="R41" s="15">
        <f>VLOOKUP($A$41,'集計'!$A$4:$EP$61,70,FALSE)</f>
        <v>856</v>
      </c>
      <c r="S41" s="16">
        <f>VLOOKUP($A$41,'集計'!$A$4:$EP$61,74,FALSE)</f>
        <v>5145.58</v>
      </c>
      <c r="T41" s="31" t="s">
        <v>80</v>
      </c>
      <c r="U41" s="15">
        <f>VLOOKUP($A$41,'集計'!$A$4:$EP$61,78,FALSE)</f>
        <v>564</v>
      </c>
      <c r="V41" s="16">
        <f>VLOOKUP($A$41,'集計'!$A$4:$EP$61,82,FALSE)</f>
        <v>119.29</v>
      </c>
      <c r="W41" s="15">
        <f>VLOOKUP($A$41,'集計'!$A$4:$EP$61,86,FALSE)</f>
        <v>85</v>
      </c>
      <c r="X41" s="16">
        <f>VLOOKUP($A$41,'集計'!$A$4:$EP$61,90,FALSE)</f>
        <v>134.8</v>
      </c>
      <c r="Y41" s="15">
        <f>VLOOKUP($A$41,'集計'!$A$4:$EP$61,94,FALSE)</f>
        <v>39</v>
      </c>
      <c r="Z41" s="16">
        <f>VLOOKUP($A$41,'集計'!$A$4:$EP$61,98,FALSE)</f>
        <v>210</v>
      </c>
      <c r="AA41" s="15">
        <f>VLOOKUP($A$41,'集計'!$A$4:$EP$61,102,FALSE)</f>
        <v>45</v>
      </c>
      <c r="AB41" s="16">
        <f>VLOOKUP($A$41,'集計'!$A$4:$EP$61,106,FALSE)</f>
        <v>932.8</v>
      </c>
      <c r="AC41" s="15">
        <f>VLOOKUP($A$41,'集計'!$A$4:$EP$61,110,FALSE)</f>
        <v>22</v>
      </c>
      <c r="AD41" s="16">
        <f>VLOOKUP($A$41,'集計'!$A$4:$EP$61,114,FALSE)</f>
        <v>391</v>
      </c>
      <c r="AE41" s="15">
        <f>VLOOKUP($A$41,'集計'!$A$4:$EP$61,118,FALSE)</f>
        <v>24</v>
      </c>
      <c r="AF41" s="16">
        <f>VLOOKUP($A$41,'集計'!$A$4:$EP$61,122,FALSE)</f>
        <v>361.1</v>
      </c>
      <c r="AG41" s="15">
        <f>VLOOKUP($A$41,'集計'!$A$4:$EP$61,126,FALSE)</f>
        <v>12</v>
      </c>
      <c r="AH41" s="16">
        <f>VLOOKUP($A$41,'集計'!$A$4:$EP$61,130,FALSE)</f>
        <v>219.5</v>
      </c>
      <c r="AI41" s="15">
        <f>VLOOKUP($A$41,'集計'!$A$4:$EP$61,134,FALSE)</f>
        <v>11</v>
      </c>
      <c r="AJ41" s="16">
        <f>VLOOKUP($A$41,'集計'!$A$4:$EP$61,138,FALSE)</f>
        <v>747.1</v>
      </c>
      <c r="AK41" s="15">
        <f>VLOOKUP($A$41,'集計'!$A$4:$EP$61,142,FALSE)</f>
        <v>802</v>
      </c>
      <c r="AL41" s="16">
        <f>VLOOKUP($A$41,'集計'!$A$4:$EP$61,146,FALSE)</f>
        <v>3115.59</v>
      </c>
    </row>
    <row r="42" spans="1:38" s="18" customFormat="1" ht="16.5" customHeight="1">
      <c r="A42" s="36" t="s">
        <v>22</v>
      </c>
      <c r="B42" s="15">
        <f>VLOOKUP($A$41,'集計'!$A$4:$EP$61,3,FALSE)</f>
        <v>390</v>
      </c>
      <c r="C42" s="16">
        <f>VLOOKUP($A$41,'集計'!$A$4:$EP$61,7,FALSE)</f>
        <v>86.8</v>
      </c>
      <c r="D42" s="15">
        <f>VLOOKUP($A$41,'集計'!$A$4:$EP$61,11,FALSE)</f>
        <v>51</v>
      </c>
      <c r="E42" s="16">
        <f>VLOOKUP($A$41,'集計'!$A$4:$EP$61,15,FALSE)</f>
        <v>81.8</v>
      </c>
      <c r="F42" s="15">
        <f>VLOOKUP($A$41,'集計'!$A$4:$EP$61,19,FALSE)</f>
        <v>8</v>
      </c>
      <c r="G42" s="16">
        <f>VLOOKUP($A$41,'集計'!$A$4:$EP$61,23,FALSE)</f>
        <v>37.3</v>
      </c>
      <c r="H42" s="15">
        <f>VLOOKUP($A$41,'集計'!$A$4:$EP$61,27,FALSE)</f>
        <v>5</v>
      </c>
      <c r="I42" s="16">
        <f>VLOOKUP($A$41,'集計'!$A$4:$EP$61,31,FALSE)</f>
        <v>113.5</v>
      </c>
      <c r="J42" s="15">
        <f>VLOOKUP($A$41,'集計'!$A$4:$EP$61,35,FALSE)</f>
        <v>7</v>
      </c>
      <c r="K42" s="16">
        <f>VLOOKUP($A$41,'集計'!$A$4:$EP$61,39,FALSE)</f>
        <v>88.3</v>
      </c>
      <c r="L42" s="15">
        <f>VLOOKUP($A$41,'集計'!$A$4:$EP$61,43,FALSE)</f>
        <v>5</v>
      </c>
      <c r="M42" s="16">
        <f>VLOOKUP($A$41,'集計'!$A$4:$EP$61,47,FALSE)</f>
        <v>89.8</v>
      </c>
      <c r="N42" s="15">
        <f>VLOOKUP($A$41,'集計'!$A$4:$EP$61,51,FALSE)</f>
        <v>9</v>
      </c>
      <c r="O42" s="16">
        <f>VLOOKUP($A$41,'集計'!$A$4:$EP$61,55,FALSE)</f>
        <v>68.12</v>
      </c>
      <c r="P42" s="15">
        <f>VLOOKUP($A$41,'集計'!$A$4:$EP$61,59,FALSE)</f>
        <v>0</v>
      </c>
      <c r="Q42" s="16">
        <f>VLOOKUP($A$41,'集計'!$A$4:$EP$61,63,FALSE)</f>
        <v>0</v>
      </c>
      <c r="R42" s="15">
        <f>VLOOKUP($A$41,'集計'!$A$4:$EP$61,67,FALSE)</f>
        <v>475</v>
      </c>
      <c r="S42" s="16">
        <f>VLOOKUP($A$41,'集計'!$A$4:$EP$61,71,FALSE)</f>
        <v>565.62</v>
      </c>
      <c r="T42" s="36" t="s">
        <v>22</v>
      </c>
      <c r="U42" s="15">
        <f>VLOOKUP($A$41,'集計'!$A$4:$EP$61,75,FALSE)</f>
        <v>378</v>
      </c>
      <c r="V42" s="16">
        <f>VLOOKUP($A$41,'集計'!$A$4:$EP$61,79,FALSE)</f>
        <v>77.95</v>
      </c>
      <c r="W42" s="15">
        <f>VLOOKUP($A$41,'集計'!$A$4:$EP$61,83,FALSE)</f>
        <v>40</v>
      </c>
      <c r="X42" s="16">
        <f>VLOOKUP($A$41,'集計'!$A$4:$EP$61,87,FALSE)</f>
        <v>49.5</v>
      </c>
      <c r="Y42" s="15">
        <f>VLOOKUP($A$41,'集計'!$A$4:$EP$61,91,FALSE)</f>
        <v>6</v>
      </c>
      <c r="Z42" s="16">
        <f>VLOOKUP($A$41,'集計'!$A$4:$EP$61,95,FALSE)</f>
        <v>28.2</v>
      </c>
      <c r="AA42" s="15">
        <f>VLOOKUP($A$41,'集計'!$A$4:$EP$61,99,FALSE)</f>
        <v>5</v>
      </c>
      <c r="AB42" s="16">
        <f>VLOOKUP($A$41,'集計'!$A$4:$EP$61,103,FALSE)</f>
        <v>102.9</v>
      </c>
      <c r="AC42" s="15">
        <f>VLOOKUP($A$41,'集計'!$A$4:$EP$61,107,FALSE)</f>
        <v>6</v>
      </c>
      <c r="AD42" s="16">
        <f>VLOOKUP($A$41,'集計'!$A$4:$EP$61,111,FALSE)</f>
        <v>74.1</v>
      </c>
      <c r="AE42" s="15">
        <f>VLOOKUP($A$41,'集計'!$A$4:$EP$61,115,FALSE)</f>
        <v>5</v>
      </c>
      <c r="AF42" s="16">
        <f>VLOOKUP($A$41,'集計'!$A$4:$EP$61,119,FALSE)</f>
        <v>67.3</v>
      </c>
      <c r="AG42" s="15">
        <f>VLOOKUP($A$41,'集計'!$A$4:$EP$61,123,FALSE)</f>
        <v>8</v>
      </c>
      <c r="AH42" s="16">
        <f>VLOOKUP($A$41,'集計'!$A$4:$EP$61,127,FALSE)</f>
        <v>57.4</v>
      </c>
      <c r="AI42" s="15">
        <f>VLOOKUP($A$41,'集計'!$A$4:$EP$61,131,FALSE)</f>
        <v>0</v>
      </c>
      <c r="AJ42" s="16">
        <f>VLOOKUP($A$41,'集計'!$A$4:$EP$61,135,FALSE)</f>
        <v>0</v>
      </c>
      <c r="AK42" s="15">
        <f>VLOOKUP($A$41,'集計'!$A$4:$EP$61,139,FALSE)</f>
        <v>448</v>
      </c>
      <c r="AL42" s="16">
        <f>VLOOKUP($A$41,'集計'!$A$4:$EP$61,143,FALSE)</f>
        <v>457.35</v>
      </c>
    </row>
    <row r="43" spans="1:38" s="18" customFormat="1" ht="16.5" customHeight="1">
      <c r="A43" s="36" t="s">
        <v>23</v>
      </c>
      <c r="B43" s="15">
        <f>VLOOKUP($A$41,'集計'!$A$4:$EP$61,4,FALSE)</f>
        <v>96</v>
      </c>
      <c r="C43" s="16">
        <f>VLOOKUP($A$41,'集計'!$A$4:$EP$61,8,FALSE)</f>
        <v>21.57</v>
      </c>
      <c r="D43" s="15">
        <f>VLOOKUP($A$41,'集計'!$A$4:$EP$61,(12),FALSE)</f>
        <v>19</v>
      </c>
      <c r="E43" s="16">
        <f>VLOOKUP($A$41,'集計'!$A$4:$EP$61,16,FALSE)</f>
        <v>37</v>
      </c>
      <c r="F43" s="15">
        <f>VLOOKUP($A$41,'集計'!$A$4:$EP$61,20,FALSE)</f>
        <v>6</v>
      </c>
      <c r="G43" s="16">
        <f>VLOOKUP($A$41,'集計'!$A$4:$EP$61,24,FALSE)</f>
        <v>27.2</v>
      </c>
      <c r="H43" s="15">
        <f>VLOOKUP($A$41,'集計'!$A$4:$EP$61,28,FALSE)</f>
        <v>3</v>
      </c>
      <c r="I43" s="16">
        <f>VLOOKUP($A$41,'集計'!$A$4:$EP$61,32,FALSE)</f>
        <v>68</v>
      </c>
      <c r="J43" s="15">
        <f>VLOOKUP($A$41,'集計'!$A$4:$EP$61,36,FALSE)</f>
        <v>1</v>
      </c>
      <c r="K43" s="16">
        <f>VLOOKUP($A$41,'集計'!$A$4:$EP$61,40,FALSE)</f>
        <v>37.8</v>
      </c>
      <c r="L43" s="15">
        <f>VLOOKUP($A$41,'集計'!$A$4:$EP$61,44,FALSE)</f>
        <v>3</v>
      </c>
      <c r="M43" s="16">
        <f>VLOOKUP($A$41,'集計'!$A$4:$EP$61,48,FALSE)</f>
        <v>26.3</v>
      </c>
      <c r="N43" s="15">
        <f>VLOOKUP($A$41,'集計'!$A$4:$EP$61,52,FALSE)</f>
        <v>0</v>
      </c>
      <c r="O43" s="16">
        <f>VLOOKUP($A$41,'集計'!$A$4:$EP$61,56,FALSE)</f>
        <v>0</v>
      </c>
      <c r="P43" s="15">
        <f>VLOOKUP($A$41,'集計'!$A$4:$EP$61,60,FALSE)</f>
        <v>0</v>
      </c>
      <c r="Q43" s="16">
        <f>VLOOKUP($A$41,'集計'!$A$4:$EP$61,64,FALSE)</f>
        <v>0</v>
      </c>
      <c r="R43" s="15">
        <f>VLOOKUP($A$41,'集計'!$A$4:$EP$61,68,FALSE)</f>
        <v>128</v>
      </c>
      <c r="S43" s="16">
        <f>VLOOKUP($A$41,'集計'!$A$4:$EP$61,72,FALSE)</f>
        <v>217.87</v>
      </c>
      <c r="T43" s="36" t="s">
        <v>23</v>
      </c>
      <c r="U43" s="15">
        <f>VLOOKUP($A$41,'集計'!$A$4:$EP$61,76,FALSE)</f>
        <v>94</v>
      </c>
      <c r="V43" s="16">
        <f>VLOOKUP($A$41,'集計'!$A$4:$EP$61,80,FALSE)</f>
        <v>21.04</v>
      </c>
      <c r="W43" s="15">
        <f>VLOOKUP($A$41,'集計'!$A$4:$EP$61,84,FALSE)</f>
        <v>17</v>
      </c>
      <c r="X43" s="16">
        <f>VLOOKUP($A$41,'集計'!$A$4:$EP$61,88,FALSE)</f>
        <v>30.4</v>
      </c>
      <c r="Y43" s="15">
        <f>VLOOKUP($A$41,'集計'!$A$4:$EP$61,92,FALSE)</f>
        <v>5</v>
      </c>
      <c r="Z43" s="16">
        <f>VLOOKUP($A$41,'集計'!$A$4:$EP$61,96,FALSE)</f>
        <v>20.1</v>
      </c>
      <c r="AA43" s="15">
        <f>VLOOKUP($A$41,'集計'!$A$4:$EP$61,100,FALSE)</f>
        <v>3</v>
      </c>
      <c r="AB43" s="16">
        <f>VLOOKUP($A$41,'集計'!$A$4:$EP$61,104,FALSE)</f>
        <v>59.5</v>
      </c>
      <c r="AC43" s="15">
        <f>VLOOKUP($A$41,'集計'!$A$4:$EP$61,108,FALSE)</f>
        <v>1</v>
      </c>
      <c r="AD43" s="16">
        <f>VLOOKUP($A$41,'集計'!$A$4:$EP$61,112,FALSE)</f>
        <v>31.4</v>
      </c>
      <c r="AE43" s="15">
        <f>VLOOKUP($A$41,'集計'!$A$4:$EP$61,116,FALSE)</f>
        <v>3</v>
      </c>
      <c r="AF43" s="16">
        <f>VLOOKUP($A$41,'集計'!$A$4:$EP$61,120,FALSE)</f>
        <v>23.5</v>
      </c>
      <c r="AG43" s="15">
        <f>VLOOKUP($A$41,'集計'!$A$4:$EP$61,124,FALSE)</f>
        <v>0</v>
      </c>
      <c r="AH43" s="16">
        <f>VLOOKUP($A$41,'集計'!$A$4:$EP$61,128,FALSE)</f>
        <v>0</v>
      </c>
      <c r="AI43" s="15">
        <f>VLOOKUP($A$41,'集計'!$A$4:$EP$61,132,FALSE)</f>
        <v>0</v>
      </c>
      <c r="AJ43" s="16">
        <f>VLOOKUP($A$41,'集計'!$A$4:$EP$61,136,FALSE)</f>
        <v>0</v>
      </c>
      <c r="AK43" s="15">
        <f>VLOOKUP($A$41,'集計'!$A$4:$EP$61,140,FALSE)</f>
        <v>123</v>
      </c>
      <c r="AL43" s="16">
        <f>VLOOKUP($A$41,'集計'!$A$4:$EP$61,144,FALSE)</f>
        <v>185.94</v>
      </c>
    </row>
    <row r="44" spans="1:38" s="18" customFormat="1" ht="16.5" customHeight="1">
      <c r="A44" s="36" t="s">
        <v>24</v>
      </c>
      <c r="B44" s="15">
        <f>VLOOKUP($A$41,'集計'!$A$4:$EP$61,5,FALSE)</f>
        <v>96</v>
      </c>
      <c r="C44" s="16">
        <f>VLOOKUP($A$41,'集計'!$A$4:$EP$61,9,FALSE)</f>
        <v>22.49</v>
      </c>
      <c r="D44" s="15">
        <f>VLOOKUP($A$41,'集計'!$A$4:$EP$61,13,FALSE)</f>
        <v>36</v>
      </c>
      <c r="E44" s="16">
        <f>VLOOKUP($A$41,'集計'!$A$4:$EP$61,17,FALSE)</f>
        <v>74.3</v>
      </c>
      <c r="F44" s="15">
        <f>VLOOKUP($A$41,'集計'!$A$4:$EP$61,21,FALSE)</f>
        <v>31</v>
      </c>
      <c r="G44" s="16">
        <f>VLOOKUP($A$41,'集計'!$A$4:$EP$61,25,FALSE)</f>
        <v>189.5</v>
      </c>
      <c r="H44" s="15">
        <f>VLOOKUP($A$41,'集計'!$A$4:$EP$61,29,FALSE)</f>
        <v>40</v>
      </c>
      <c r="I44" s="16">
        <f>VLOOKUP($A$41,'集計'!$A$4:$EP$61,33,FALSE)</f>
        <v>1556</v>
      </c>
      <c r="J44" s="15">
        <f>VLOOKUP($A$41,'集計'!$A$4:$EP$61,37,FALSE)</f>
        <v>16</v>
      </c>
      <c r="K44" s="16">
        <f>VLOOKUP($A$41,'集計'!$A$4:$EP$61,41,FALSE)</f>
        <v>389.6</v>
      </c>
      <c r="L44" s="15">
        <f>VLOOKUP($A$41,'集計'!$A$4:$EP$61,45,FALSE)</f>
        <v>19</v>
      </c>
      <c r="M44" s="16">
        <f>VLOOKUP($A$41,'集計'!$A$4:$EP$61,49,FALSE)</f>
        <v>526.8</v>
      </c>
      <c r="N44" s="15">
        <f>VLOOKUP($A$41,'集計'!$A$4:$EP$61,53,FALSE)</f>
        <v>4</v>
      </c>
      <c r="O44" s="16">
        <f>VLOOKUP($A$41,'集計'!$A$4:$EP$61,57,FALSE)</f>
        <v>189.7</v>
      </c>
      <c r="P44" s="15">
        <f>VLOOKUP($A$41,'集計'!$A$4:$EP$61,61,FALSE)</f>
        <v>11</v>
      </c>
      <c r="Q44" s="16">
        <f>VLOOKUP($A$41,'集計'!$A$4:$EP$61,65,FALSE)</f>
        <v>1413.7</v>
      </c>
      <c r="R44" s="15">
        <f>VLOOKUP($A$41,'集計'!$A$4:$EP$61,69,FALSE)</f>
        <v>253</v>
      </c>
      <c r="S44" s="16">
        <f>VLOOKUP($A$41,'集計'!$A$4:$EP$61,73,FALSE)</f>
        <v>4362.09</v>
      </c>
      <c r="T44" s="36" t="s">
        <v>24</v>
      </c>
      <c r="U44" s="15">
        <f>VLOOKUP($A$41,'集計'!$A$4:$EP$61,77,FALSE)</f>
        <v>92</v>
      </c>
      <c r="V44" s="16">
        <f>VLOOKUP($A$41,'集計'!$A$4:$EP$61,81,FALSE)</f>
        <v>20.3</v>
      </c>
      <c r="W44" s="15">
        <f>VLOOKUP($A$41,'集計'!$A$4:$EP$61,85,FALSE)</f>
        <v>28</v>
      </c>
      <c r="X44" s="16">
        <f>VLOOKUP($A$41,'集計'!$A$4:$EP$61,89,FALSE)</f>
        <v>54.9</v>
      </c>
      <c r="Y44" s="15">
        <f>VLOOKUP($A$41,'集計'!$A$4:$EP$61,93,FALSE)</f>
        <v>28</v>
      </c>
      <c r="Z44" s="16">
        <f>VLOOKUP($A$41,'集計'!$A$4:$EP$61,97,FALSE)</f>
        <v>161.7</v>
      </c>
      <c r="AA44" s="15">
        <f>VLOOKUP($A$41,'集計'!$A$4:$EP$61,101,FALSE)</f>
        <v>37</v>
      </c>
      <c r="AB44" s="16">
        <f>VLOOKUP($A$41,'集計'!$A$4:$EP$61,105,FALSE)</f>
        <v>770.4</v>
      </c>
      <c r="AC44" s="15">
        <f>VLOOKUP($A$41,'集計'!$A$4:$EP$61,109,FALSE)</f>
        <v>15</v>
      </c>
      <c r="AD44" s="16">
        <f>VLOOKUP($A$41,'集計'!$A$4:$EP$61,113,FALSE)</f>
        <v>285.5</v>
      </c>
      <c r="AE44" s="15">
        <f>VLOOKUP($A$41,'集計'!$A$4:$EP$61,117,FALSE)</f>
        <v>16</v>
      </c>
      <c r="AF44" s="16">
        <f>VLOOKUP($A$41,'集計'!$A$4:$EP$61,121,FALSE)</f>
        <v>270.3</v>
      </c>
      <c r="AG44" s="15">
        <f>VLOOKUP($A$41,'集計'!$A$4:$EP$61,125,FALSE)</f>
        <v>4</v>
      </c>
      <c r="AH44" s="16">
        <f>VLOOKUP($A$41,'集計'!$A$4:$EP$61,129,FALSE)</f>
        <v>162.1</v>
      </c>
      <c r="AI44" s="15">
        <f>VLOOKUP($A$41,'集計'!$A$4:$EP$61,133,FALSE)</f>
        <v>11</v>
      </c>
      <c r="AJ44" s="16">
        <f>VLOOKUP($A$41,'集計'!$A$4:$EP$61,137,FALSE)</f>
        <v>747.1</v>
      </c>
      <c r="AK44" s="15">
        <f>VLOOKUP($A$41,'集計'!$A$4:$EP$61,141,FALSE)</f>
        <v>231</v>
      </c>
      <c r="AL44" s="16">
        <f>VLOOKUP($A$41,'集計'!$A$4:$EP$61,145,FALSE)</f>
        <v>2472.3</v>
      </c>
    </row>
    <row r="45" spans="1:39" s="18" customFormat="1" ht="16.5" customHeight="1">
      <c r="A45" s="31" t="s">
        <v>81</v>
      </c>
      <c r="B45" s="15">
        <f>VLOOKUP($A$45,'集計'!$A$4:$EP$61,6,FALSE)</f>
        <v>3760</v>
      </c>
      <c r="C45" s="16">
        <f>VLOOKUP($A$45,'集計'!$A$4:$EP$61,10,FALSE)</f>
        <v>881.43</v>
      </c>
      <c r="D45" s="15">
        <f>VLOOKUP($A$45,'集計'!$A$4:$EP$61,14,FALSE)</f>
        <v>534</v>
      </c>
      <c r="E45" s="16">
        <f>VLOOKUP($A$45,'集計'!$A$4:$EP$61,18,FALSE)</f>
        <v>1069.56</v>
      </c>
      <c r="F45" s="15">
        <f>VLOOKUP($A$45,'集計'!$A$4:$EP$61,22,FALSE)</f>
        <v>129</v>
      </c>
      <c r="G45" s="16">
        <f>VLOOKUP($A$45,'集計'!$A$4:$EP$61,26,FALSE)</f>
        <v>745.7</v>
      </c>
      <c r="H45" s="15">
        <f>VLOOKUP($A$45,'集計'!$A$4:$EP$61,30,FALSE)</f>
        <v>161</v>
      </c>
      <c r="I45" s="16">
        <f>VLOOKUP($A$45,'集計'!$A$4:$EP$61,34,FALSE)</f>
        <v>4277.5</v>
      </c>
      <c r="J45" s="15">
        <f>VLOOKUP($A$45,'集計'!$A$4:$EP$61,38,FALSE)</f>
        <v>82</v>
      </c>
      <c r="K45" s="16">
        <f>VLOOKUP($A$45,'集計'!$A$4:$EP$61,42,FALSE)</f>
        <v>1737.7</v>
      </c>
      <c r="L45" s="15">
        <f>VLOOKUP($A$45,'集計'!$A$4:$EP$61,46,FALSE)</f>
        <v>72</v>
      </c>
      <c r="M45" s="16">
        <f>VLOOKUP($A$45,'集計'!$A$4:$EP$61,50,FALSE)</f>
        <v>1605.9</v>
      </c>
      <c r="N45" s="15">
        <f>VLOOKUP($A$45,'集計'!$A$4:$EP$61,54,FALSE)</f>
        <v>40</v>
      </c>
      <c r="O45" s="16">
        <f>VLOOKUP($A$45,'集計'!$A$4:$EP$61,58,FALSE)</f>
        <v>309.7</v>
      </c>
      <c r="P45" s="15">
        <f>VLOOKUP($A$45,'集計'!$A$4:$EP$61,62,FALSE)</f>
        <v>20</v>
      </c>
      <c r="Q45" s="16">
        <f>VLOOKUP($A$45,'集計'!$A$4:$EP$61,66,FALSE)</f>
        <v>2699.5</v>
      </c>
      <c r="R45" s="15">
        <f>VLOOKUP($A$45,'集計'!$A$4:$EP$61,70,FALSE)</f>
        <v>4798</v>
      </c>
      <c r="S45" s="16">
        <f>VLOOKUP($A$45,'集計'!$A$4:$EP$61,74,FALSE)</f>
        <v>13326.99</v>
      </c>
      <c r="T45" s="31" t="s">
        <v>81</v>
      </c>
      <c r="U45" s="15">
        <f>VLOOKUP($A$45,'集計'!$A$4:$EP$61,78,FALSE)</f>
        <v>3639</v>
      </c>
      <c r="V45" s="16">
        <f>VLOOKUP($A$45,'集計'!$A$4:$EP$61,82,FALSE)</f>
        <v>837.19</v>
      </c>
      <c r="W45" s="15">
        <f>VLOOKUP($A$45,'集計'!$A$4:$EP$61,86,FALSE)</f>
        <v>493</v>
      </c>
      <c r="X45" s="16">
        <f>VLOOKUP($A$45,'集計'!$A$4:$EP$61,90,FALSE)</f>
        <v>891.9</v>
      </c>
      <c r="Y45" s="15">
        <f>VLOOKUP($A$45,'集計'!$A$4:$EP$61,94,FALSE)</f>
        <v>124</v>
      </c>
      <c r="Z45" s="16">
        <f>VLOOKUP($A$45,'集計'!$A$4:$EP$61,98,FALSE)</f>
        <v>663.4</v>
      </c>
      <c r="AA45" s="15">
        <f>VLOOKUP($A$45,'集計'!$A$4:$EP$61,102,FALSE)</f>
        <v>152</v>
      </c>
      <c r="AB45" s="16">
        <f>VLOOKUP($A$45,'集計'!$A$4:$EP$61,106,FALSE)</f>
        <v>2952.4</v>
      </c>
      <c r="AC45" s="15">
        <f>VLOOKUP($A$45,'集計'!$A$4:$EP$61,110,FALSE)</f>
        <v>73</v>
      </c>
      <c r="AD45" s="16">
        <f>VLOOKUP($A$45,'集計'!$A$4:$EP$61,114,FALSE)</f>
        <v>1414.7</v>
      </c>
      <c r="AE45" s="15">
        <f>VLOOKUP($A$45,'集計'!$A$4:$EP$61,118,FALSE)</f>
        <v>63</v>
      </c>
      <c r="AF45" s="16">
        <f>VLOOKUP($A$45,'集計'!$A$4:$EP$61,122,FALSE)</f>
        <v>900</v>
      </c>
      <c r="AG45" s="15">
        <f>VLOOKUP($A$45,'集計'!$A$4:$EP$61,126,FALSE)</f>
        <v>33</v>
      </c>
      <c r="AH45" s="16">
        <f>VLOOKUP($A$45,'集計'!$A$4:$EP$61,130,FALSE)</f>
        <v>241.31</v>
      </c>
      <c r="AI45" s="15">
        <f>VLOOKUP($A$45,'集計'!$A$4:$EP$61,134,FALSE)</f>
        <v>20</v>
      </c>
      <c r="AJ45" s="16">
        <f>VLOOKUP($A$45,'集計'!$A$4:$EP$61,138,FALSE)</f>
        <v>1486.8</v>
      </c>
      <c r="AK45" s="15">
        <f>VLOOKUP($A$45,'集計'!$A$4:$EP$61,142,FALSE)</f>
        <v>4597</v>
      </c>
      <c r="AL45" s="16">
        <f>VLOOKUP($A$45,'集計'!$A$4:$EP$61,146,FALSE)</f>
        <v>9387.7</v>
      </c>
      <c r="AM45" s="74"/>
    </row>
    <row r="46" spans="1:39" s="18" customFormat="1" ht="16.5" customHeight="1">
      <c r="A46" s="36" t="s">
        <v>22</v>
      </c>
      <c r="B46" s="15">
        <f>VLOOKUP($A$45,'集計'!$A$4:$EP$61,3,FALSE)</f>
        <v>2727</v>
      </c>
      <c r="C46" s="16">
        <f>VLOOKUP($A$45,'集計'!$A$4:$EP$61,7,FALSE)</f>
        <v>614.86</v>
      </c>
      <c r="D46" s="15">
        <f>VLOOKUP($A$45,'集計'!$A$4:$EP$61,11,FALSE)</f>
        <v>273</v>
      </c>
      <c r="E46" s="16">
        <f>VLOOKUP($A$45,'集計'!$A$4:$EP$61,15,FALSE)</f>
        <v>519.5</v>
      </c>
      <c r="F46" s="15">
        <f>VLOOKUP($A$45,'集計'!$A$4:$EP$61,19,FALSE)</f>
        <v>37</v>
      </c>
      <c r="G46" s="16">
        <f>VLOOKUP($A$45,'集計'!$A$4:$EP$61,23,FALSE)</f>
        <v>210.1</v>
      </c>
      <c r="H46" s="15">
        <f>VLOOKUP($A$45,'集計'!$A$4:$EP$61,27,FALSE)</f>
        <v>40</v>
      </c>
      <c r="I46" s="16">
        <f>VLOOKUP($A$45,'集計'!$A$4:$EP$61,31,FALSE)</f>
        <v>807.8</v>
      </c>
      <c r="J46" s="15">
        <f>VLOOKUP($A$45,'集計'!$A$4:$EP$61,35,FALSE)</f>
        <v>18</v>
      </c>
      <c r="K46" s="16">
        <f>VLOOKUP($A$45,'集計'!$A$4:$EP$61,39,FALSE)</f>
        <v>346.5</v>
      </c>
      <c r="L46" s="15">
        <f>VLOOKUP($A$45,'集計'!$A$4:$EP$61,43,FALSE)</f>
        <v>17</v>
      </c>
      <c r="M46" s="16">
        <f>VLOOKUP($A$45,'集計'!$A$4:$EP$61,47,FALSE)</f>
        <v>304.2</v>
      </c>
      <c r="N46" s="15">
        <f>VLOOKUP($A$45,'集計'!$A$4:$EP$61,51,FALSE)</f>
        <v>17</v>
      </c>
      <c r="O46" s="16">
        <f>VLOOKUP($A$45,'集計'!$A$4:$EP$61,55,FALSE)</f>
        <v>87.2</v>
      </c>
      <c r="P46" s="15">
        <f>VLOOKUP($A$45,'集計'!$A$4:$EP$61,59,FALSE)</f>
        <v>1</v>
      </c>
      <c r="Q46" s="16">
        <f>VLOOKUP($A$45,'集計'!$A$4:$EP$61,63,FALSE)</f>
        <v>126.9</v>
      </c>
      <c r="R46" s="15">
        <f>VLOOKUP($A$45,'集計'!$A$4:$EP$61,67,FALSE)</f>
        <v>3130</v>
      </c>
      <c r="S46" s="16">
        <f>VLOOKUP($A$45,'集計'!$A$4:$EP$61,71,FALSE)</f>
        <v>3017.06</v>
      </c>
      <c r="T46" s="36" t="s">
        <v>22</v>
      </c>
      <c r="U46" s="15">
        <f>VLOOKUP($A$45,'集計'!$A$4:$EP$61,75,FALSE)</f>
        <v>2651</v>
      </c>
      <c r="V46" s="16">
        <f>VLOOKUP($A$45,'集計'!$A$4:$EP$61,79,FALSE)</f>
        <v>583.37</v>
      </c>
      <c r="W46" s="15">
        <f>VLOOKUP($A$45,'集計'!$A$4:$EP$61,83,FALSE)</f>
        <v>256</v>
      </c>
      <c r="X46" s="16">
        <f>VLOOKUP($A$45,'集計'!$A$4:$EP$61,87,FALSE)</f>
        <v>443.4</v>
      </c>
      <c r="Y46" s="15">
        <f>VLOOKUP($A$45,'集計'!$A$4:$EP$61,91,FALSE)</f>
        <v>37</v>
      </c>
      <c r="Z46" s="16">
        <f>VLOOKUP($A$45,'集計'!$A$4:$EP$61,95,FALSE)</f>
        <v>201</v>
      </c>
      <c r="AA46" s="15">
        <f>VLOOKUP($A$45,'集計'!$A$4:$EP$61,99,FALSE)</f>
        <v>38</v>
      </c>
      <c r="AB46" s="16">
        <f>VLOOKUP($A$45,'集計'!$A$4:$EP$61,103,FALSE)</f>
        <v>697.1</v>
      </c>
      <c r="AC46" s="15">
        <f>VLOOKUP($A$45,'集計'!$A$4:$EP$61,107,FALSE)</f>
        <v>17</v>
      </c>
      <c r="AD46" s="16">
        <f>VLOOKUP($A$45,'集計'!$A$4:$EP$61,111,FALSE)</f>
        <v>285.9</v>
      </c>
      <c r="AE46" s="15">
        <f>VLOOKUP($A$45,'集計'!$A$4:$EP$61,115,FALSE)</f>
        <v>16</v>
      </c>
      <c r="AF46" s="16">
        <f>VLOOKUP($A$45,'集計'!$A$4:$EP$61,119,FALSE)</f>
        <v>177.7</v>
      </c>
      <c r="AG46" s="15">
        <f>VLOOKUP($A$45,'集計'!$A$4:$EP$61,123,FALSE)</f>
        <v>14</v>
      </c>
      <c r="AH46" s="16">
        <f>VLOOKUP($A$45,'集計'!$A$4:$EP$61,127,FALSE)</f>
        <v>43.9</v>
      </c>
      <c r="AI46" s="15">
        <f>VLOOKUP($A$45,'集計'!$A$4:$EP$61,131,FALSE)</f>
        <v>1</v>
      </c>
      <c r="AJ46" s="16">
        <f>VLOOKUP($A$45,'集計'!$A$4:$EP$61,135,FALSE)</f>
        <v>125.4</v>
      </c>
      <c r="AK46" s="15">
        <f>VLOOKUP($A$45,'集計'!$A$4:$EP$61,139,FALSE)</f>
        <v>3030</v>
      </c>
      <c r="AL46" s="16">
        <f>VLOOKUP($A$45,'集計'!$A$4:$EP$61,143,FALSE)</f>
        <v>2557.77</v>
      </c>
      <c r="AM46" s="74"/>
    </row>
    <row r="47" spans="1:38" s="18" customFormat="1" ht="16.5" customHeight="1">
      <c r="A47" s="36" t="s">
        <v>23</v>
      </c>
      <c r="B47" s="15">
        <f>VLOOKUP($A$45,'集計'!$A$4:$EP$61,4,FALSE)</f>
        <v>797</v>
      </c>
      <c r="C47" s="16">
        <f>VLOOKUP($A$45,'集計'!$A$4:$EP$61,8,FALSE)</f>
        <v>192.19</v>
      </c>
      <c r="D47" s="15">
        <f>VLOOKUP($A$45,'集計'!$A$4:$EP$61,(12),FALSE)</f>
        <v>141</v>
      </c>
      <c r="E47" s="16">
        <f>VLOOKUP($A$45,'集計'!$A$4:$EP$61,16,FALSE)</f>
        <v>270.7</v>
      </c>
      <c r="F47" s="15">
        <f>VLOOKUP($A$45,'集計'!$A$4:$EP$61,20,FALSE)</f>
        <v>29</v>
      </c>
      <c r="G47" s="16">
        <f>VLOOKUP($A$45,'集計'!$A$4:$EP$61,24,FALSE)</f>
        <v>175</v>
      </c>
      <c r="H47" s="15">
        <f>VLOOKUP($A$45,'集計'!$A$4:$EP$61,28,FALSE)</f>
        <v>38</v>
      </c>
      <c r="I47" s="16">
        <f>VLOOKUP($A$45,'集計'!$A$4:$EP$61,32,FALSE)</f>
        <v>731.4</v>
      </c>
      <c r="J47" s="15">
        <f>VLOOKUP($A$45,'集計'!$A$4:$EP$61,36,FALSE)</f>
        <v>26</v>
      </c>
      <c r="K47" s="16">
        <f>VLOOKUP($A$45,'集計'!$A$4:$EP$61,40,FALSE)</f>
        <v>474.7</v>
      </c>
      <c r="L47" s="15">
        <f>VLOOKUP($A$45,'集計'!$A$4:$EP$61,44,FALSE)</f>
        <v>11</v>
      </c>
      <c r="M47" s="16">
        <f>VLOOKUP($A$45,'集計'!$A$4:$EP$61,48,FALSE)</f>
        <v>190</v>
      </c>
      <c r="N47" s="15">
        <f>VLOOKUP($A$45,'集計'!$A$4:$EP$61,52,FALSE)</f>
        <v>6</v>
      </c>
      <c r="O47" s="16">
        <f>VLOOKUP($A$45,'集計'!$A$4:$EP$61,56,FALSE)</f>
        <v>17</v>
      </c>
      <c r="P47" s="15">
        <f>VLOOKUP($A$45,'集計'!$A$4:$EP$61,60,FALSE)</f>
        <v>1</v>
      </c>
      <c r="Q47" s="16">
        <f>VLOOKUP($A$45,'集計'!$A$4:$EP$61,64,FALSE)</f>
        <v>2.5</v>
      </c>
      <c r="R47" s="15">
        <f>VLOOKUP($A$45,'集計'!$A$4:$EP$61,68,FALSE)</f>
        <v>1049</v>
      </c>
      <c r="S47" s="16">
        <f>VLOOKUP($A$45,'集計'!$A$4:$EP$61,72,FALSE)</f>
        <v>2053.49</v>
      </c>
      <c r="T47" s="36" t="s">
        <v>23</v>
      </c>
      <c r="U47" s="15">
        <f>VLOOKUP($A$45,'集計'!$A$4:$EP$61,76,FALSE)</f>
        <v>761</v>
      </c>
      <c r="V47" s="16">
        <f>VLOOKUP($A$45,'集計'!$A$4:$EP$61,80,FALSE)</f>
        <v>181.99</v>
      </c>
      <c r="W47" s="15">
        <f>VLOOKUP($A$45,'集計'!$A$4:$EP$61,84,FALSE)</f>
        <v>123</v>
      </c>
      <c r="X47" s="16">
        <f>VLOOKUP($A$45,'集計'!$A$4:$EP$61,88,FALSE)</f>
        <v>221.5</v>
      </c>
      <c r="Y47" s="15">
        <f>VLOOKUP($A$45,'集計'!$A$4:$EP$61,92,FALSE)</f>
        <v>27</v>
      </c>
      <c r="Z47" s="16">
        <f>VLOOKUP($A$45,'集計'!$A$4:$EP$61,96,FALSE)</f>
        <v>148.2</v>
      </c>
      <c r="AA47" s="15">
        <f>VLOOKUP($A$45,'集計'!$A$4:$EP$61,100,FALSE)</f>
        <v>34</v>
      </c>
      <c r="AB47" s="16">
        <f>VLOOKUP($A$45,'集計'!$A$4:$EP$61,104,FALSE)</f>
        <v>566.3</v>
      </c>
      <c r="AC47" s="15">
        <f>VLOOKUP($A$45,'集計'!$A$4:$EP$61,108,FALSE)</f>
        <v>22</v>
      </c>
      <c r="AD47" s="16">
        <f>VLOOKUP($A$45,'集計'!$A$4:$EP$61,112,FALSE)</f>
        <v>393.6</v>
      </c>
      <c r="AE47" s="15">
        <f>VLOOKUP($A$45,'集計'!$A$4:$EP$61,116,FALSE)</f>
        <v>10</v>
      </c>
      <c r="AF47" s="16">
        <f>VLOOKUP($A$45,'集計'!$A$4:$EP$61,120,FALSE)</f>
        <v>51.1</v>
      </c>
      <c r="AG47" s="15">
        <f>VLOOKUP($A$45,'集計'!$A$4:$EP$61,124,FALSE)</f>
        <v>5</v>
      </c>
      <c r="AH47" s="16">
        <f>VLOOKUP($A$45,'集計'!$A$4:$EP$61,128,FALSE)</f>
        <v>14.71</v>
      </c>
      <c r="AI47" s="15">
        <f>VLOOKUP($A$45,'集計'!$A$4:$EP$61,132,FALSE)</f>
        <v>1</v>
      </c>
      <c r="AJ47" s="16">
        <f>VLOOKUP($A$45,'集計'!$A$4:$EP$61,136,FALSE)</f>
        <v>2.5</v>
      </c>
      <c r="AK47" s="15">
        <f>VLOOKUP($A$45,'集計'!$A$4:$EP$61,140,FALSE)</f>
        <v>983</v>
      </c>
      <c r="AL47" s="16">
        <f>VLOOKUP($A$45,'集計'!$A$4:$EP$61,144,FALSE)</f>
        <v>1579.9</v>
      </c>
    </row>
    <row r="48" spans="1:38" s="18" customFormat="1" ht="16.5" customHeight="1">
      <c r="A48" s="36" t="s">
        <v>24</v>
      </c>
      <c r="B48" s="15">
        <f>VLOOKUP($A$45,'集計'!$A$4:$EP$61,5,FALSE)</f>
        <v>236</v>
      </c>
      <c r="C48" s="16">
        <f>VLOOKUP($A$45,'集計'!$A$4:$EP$61,9,FALSE)</f>
        <v>74.38</v>
      </c>
      <c r="D48" s="15">
        <f>VLOOKUP($A$45,'集計'!$A$4:$EP$61,13,FALSE)</f>
        <v>120</v>
      </c>
      <c r="E48" s="16">
        <f>VLOOKUP($A$45,'集計'!$A$4:$EP$61,17,FALSE)</f>
        <v>279.36</v>
      </c>
      <c r="F48" s="15">
        <f>VLOOKUP($A$45,'集計'!$A$4:$EP$61,21,FALSE)</f>
        <v>63</v>
      </c>
      <c r="G48" s="16">
        <f>VLOOKUP($A$45,'集計'!$A$4:$EP$61,25,FALSE)</f>
        <v>360.6</v>
      </c>
      <c r="H48" s="15">
        <f>VLOOKUP($A$45,'集計'!$A$4:$EP$61,29,FALSE)</f>
        <v>83</v>
      </c>
      <c r="I48" s="16">
        <f>VLOOKUP($A$45,'集計'!$A$4:$EP$61,33,FALSE)</f>
        <v>2738.3</v>
      </c>
      <c r="J48" s="15">
        <f>VLOOKUP($A$45,'集計'!$A$4:$EP$61,37,FALSE)</f>
        <v>38</v>
      </c>
      <c r="K48" s="16">
        <f>VLOOKUP($A$45,'集計'!$A$4:$EP$61,41,FALSE)</f>
        <v>916.5</v>
      </c>
      <c r="L48" s="15">
        <f>VLOOKUP($A$45,'集計'!$A$4:$EP$61,45,FALSE)</f>
        <v>44</v>
      </c>
      <c r="M48" s="16">
        <f>VLOOKUP($A$45,'集計'!$A$4:$EP$61,49,FALSE)</f>
        <v>1111.7</v>
      </c>
      <c r="N48" s="15">
        <f>VLOOKUP($A$45,'集計'!$A$4:$EP$61,53,FALSE)</f>
        <v>17</v>
      </c>
      <c r="O48" s="16">
        <f>VLOOKUP($A$45,'集計'!$A$4:$EP$61,57,FALSE)</f>
        <v>205.5</v>
      </c>
      <c r="P48" s="15">
        <f>VLOOKUP($A$45,'集計'!$A$4:$EP$61,61,FALSE)</f>
        <v>18</v>
      </c>
      <c r="Q48" s="16">
        <f>VLOOKUP($A$45,'集計'!$A$4:$EP$61,65,FALSE)</f>
        <v>2570.1</v>
      </c>
      <c r="R48" s="15">
        <f>VLOOKUP($A$45,'集計'!$A$4:$EP$61,69,FALSE)</f>
        <v>619</v>
      </c>
      <c r="S48" s="16">
        <f>VLOOKUP($A$45,'集計'!$A$4:$EP$61,73,FALSE)</f>
        <v>8256.44</v>
      </c>
      <c r="T48" s="36" t="s">
        <v>24</v>
      </c>
      <c r="U48" s="15">
        <f>VLOOKUP($A$45,'集計'!$A$4:$EP$61,77,FALSE)</f>
        <v>227</v>
      </c>
      <c r="V48" s="16">
        <f>VLOOKUP($A$45,'集計'!$A$4:$EP$61,81,FALSE)</f>
        <v>71.83</v>
      </c>
      <c r="W48" s="15">
        <f>VLOOKUP($A$45,'集計'!$A$4:$EP$61,85,FALSE)</f>
        <v>114</v>
      </c>
      <c r="X48" s="16">
        <f>VLOOKUP($A$45,'集計'!$A$4:$EP$61,89,FALSE)</f>
        <v>227</v>
      </c>
      <c r="Y48" s="15">
        <f>VLOOKUP($A$45,'集計'!$A$4:$EP$61,93,FALSE)</f>
        <v>60</v>
      </c>
      <c r="Z48" s="16">
        <f>VLOOKUP($A$45,'集計'!$A$4:$EP$61,97,FALSE)</f>
        <v>314.2</v>
      </c>
      <c r="AA48" s="15">
        <f>VLOOKUP($A$45,'集計'!$A$4:$EP$61,101,FALSE)</f>
        <v>80</v>
      </c>
      <c r="AB48" s="16">
        <f>VLOOKUP($A$45,'集計'!$A$4:$EP$61,105,FALSE)</f>
        <v>1689</v>
      </c>
      <c r="AC48" s="15">
        <f>VLOOKUP($A$45,'集計'!$A$4:$EP$61,109,FALSE)</f>
        <v>34</v>
      </c>
      <c r="AD48" s="16">
        <f>VLOOKUP($A$45,'集計'!$A$4:$EP$61,113,FALSE)</f>
        <v>735.2</v>
      </c>
      <c r="AE48" s="15">
        <f>VLOOKUP($A$45,'集計'!$A$4:$EP$61,117,FALSE)</f>
        <v>37</v>
      </c>
      <c r="AF48" s="16">
        <f>VLOOKUP($A$45,'集計'!$A$4:$EP$61,121,FALSE)</f>
        <v>671.2</v>
      </c>
      <c r="AG48" s="15">
        <f>VLOOKUP($A$45,'集計'!$A$4:$EP$61,125,FALSE)</f>
        <v>14</v>
      </c>
      <c r="AH48" s="16">
        <f>VLOOKUP($A$45,'集計'!$A$4:$EP$61,129,FALSE)</f>
        <v>182.7</v>
      </c>
      <c r="AI48" s="15">
        <f>VLOOKUP($A$45,'集計'!$A$4:$EP$61,133,FALSE)</f>
        <v>18</v>
      </c>
      <c r="AJ48" s="16">
        <f>VLOOKUP($A$45,'集計'!$A$4:$EP$61,137,FALSE)</f>
        <v>1358.9</v>
      </c>
      <c r="AK48" s="15">
        <f>VLOOKUP($A$45,'集計'!$A$4:$EP$61,141,FALSE)</f>
        <v>584</v>
      </c>
      <c r="AL48" s="16">
        <f>VLOOKUP($A$45,'集計'!$A$4:$EP$61,145,FALSE)</f>
        <v>5250.03</v>
      </c>
    </row>
    <row r="49" spans="1:38" s="18" customFormat="1" ht="16.5" customHeight="1">
      <c r="A49" s="31" t="s">
        <v>104</v>
      </c>
      <c r="B49" s="15">
        <f>VLOOKUP($A$49,'集計'!$A$4:$EP$61,6,FALSE)</f>
        <v>387</v>
      </c>
      <c r="C49" s="16">
        <f>VLOOKUP($A$49,'集計'!$A$4:$EP$61,10,FALSE)</f>
        <v>95.11</v>
      </c>
      <c r="D49" s="15">
        <f>VLOOKUP($A$49,'集計'!$A$4:$EP$61,14,FALSE)</f>
        <v>85</v>
      </c>
      <c r="E49" s="16">
        <f>VLOOKUP($A$49,'集計'!$A$4:$EP$61,18,FALSE)</f>
        <v>194.2</v>
      </c>
      <c r="F49" s="15">
        <f>VLOOKUP($A$49,'集計'!$A$4:$EP$61,22,FALSE)</f>
        <v>26</v>
      </c>
      <c r="G49" s="16">
        <f>VLOOKUP($A$49,'集計'!$A$4:$EP$61,26,FALSE)</f>
        <v>139.7</v>
      </c>
      <c r="H49" s="15">
        <f>VLOOKUP($A$49,'集計'!$A$4:$EP$61,30,FALSE)</f>
        <v>25</v>
      </c>
      <c r="I49" s="16">
        <f>VLOOKUP($A$49,'集計'!$A$4:$EP$61,34,FALSE)</f>
        <v>462.9</v>
      </c>
      <c r="J49" s="15">
        <f>VLOOKUP($A$49,'集計'!$A$4:$EP$61,38,FALSE)</f>
        <v>11</v>
      </c>
      <c r="K49" s="16">
        <f>VLOOKUP($A$49,'集計'!$A$4:$EP$61,42,FALSE)</f>
        <v>229.9</v>
      </c>
      <c r="L49" s="15">
        <f>VLOOKUP($A$49,'集計'!$A$4:$EP$61,46,FALSE)</f>
        <v>3</v>
      </c>
      <c r="M49" s="16">
        <f>VLOOKUP($A$49,'集計'!$A$4:$EP$61,50,FALSE)</f>
        <v>58.5</v>
      </c>
      <c r="N49" s="15">
        <f>VLOOKUP($A$49,'集計'!$A$4:$EP$61,54,FALSE)</f>
        <v>2</v>
      </c>
      <c r="O49" s="16">
        <f>VLOOKUP($A$49,'集計'!$A$4:$EP$61,58,FALSE)</f>
        <v>289.9</v>
      </c>
      <c r="P49" s="15">
        <f>VLOOKUP($A$49,'集計'!$A$4:$EP$61,62,FALSE)</f>
        <v>7</v>
      </c>
      <c r="Q49" s="16">
        <f>VLOOKUP($A$49,'集計'!$A$4:$EP$61,66,FALSE)</f>
        <v>656.4</v>
      </c>
      <c r="R49" s="15">
        <f>VLOOKUP($A$49,'集計'!$A$4:$EP$61,70,FALSE)</f>
        <v>546</v>
      </c>
      <c r="S49" s="16">
        <f>VLOOKUP($A$49,'集計'!$A$4:$EP$61,74,FALSE)</f>
        <v>2126.61</v>
      </c>
      <c r="T49" s="31" t="s">
        <v>71</v>
      </c>
      <c r="U49" s="15">
        <f>VLOOKUP($A$49,'集計'!$A$4:$EP$61,78,FALSE)</f>
        <v>325</v>
      </c>
      <c r="V49" s="16">
        <f>VLOOKUP($A$49,'集計'!$A$4:$EP$61,82,FALSE)</f>
        <v>76.04</v>
      </c>
      <c r="W49" s="15">
        <f>VLOOKUP($A$49,'集計'!$A$4:$EP$61,86,FALSE)</f>
        <v>69</v>
      </c>
      <c r="X49" s="16">
        <f>VLOOKUP($A$49,'集計'!$A$4:$EP$61,90,FALSE)</f>
        <v>132.5</v>
      </c>
      <c r="Y49" s="15">
        <f>VLOOKUP($A$49,'集計'!$A$4:$EP$61,94,FALSE)</f>
        <v>24</v>
      </c>
      <c r="Z49" s="16">
        <f>VLOOKUP($A$49,'集計'!$A$4:$EP$61,98,FALSE)</f>
        <v>108.3</v>
      </c>
      <c r="AA49" s="15">
        <f>VLOOKUP($A$49,'集計'!$A$4:$EP$61,102,FALSE)</f>
        <v>23</v>
      </c>
      <c r="AB49" s="16">
        <f>VLOOKUP($A$49,'集計'!$A$4:$EP$61,106,FALSE)</f>
        <v>265.9</v>
      </c>
      <c r="AC49" s="15">
        <f>VLOOKUP($A$49,'集計'!$A$4:$EP$61,110,FALSE)</f>
        <v>11</v>
      </c>
      <c r="AD49" s="16">
        <f>VLOOKUP($A$49,'集計'!$A$4:$EP$61,114,FALSE)</f>
        <v>199.7</v>
      </c>
      <c r="AE49" s="15">
        <f>VLOOKUP($A$49,'集計'!$A$4:$EP$61,118,FALSE)</f>
        <v>2</v>
      </c>
      <c r="AF49" s="16">
        <f>VLOOKUP($A$49,'集計'!$A$4:$EP$61,122,FALSE)</f>
        <v>24.7</v>
      </c>
      <c r="AG49" s="15">
        <f>VLOOKUP($A$49,'集計'!$A$4:$EP$61,126,FALSE)</f>
        <v>2</v>
      </c>
      <c r="AH49" s="16">
        <f>VLOOKUP($A$49,'集計'!$A$4:$EP$61,130,FALSE)</f>
        <v>15.3</v>
      </c>
      <c r="AI49" s="15">
        <f>VLOOKUP($A$49,'集計'!$A$4:$EP$61,134,FALSE)</f>
        <v>8</v>
      </c>
      <c r="AJ49" s="16">
        <f>VLOOKUP($A$49,'集計'!$A$4:$EP$61,138,FALSE)</f>
        <v>451.1</v>
      </c>
      <c r="AK49" s="15">
        <f>VLOOKUP($A$49,'集計'!$A$4:$EP$61,142,FALSE)</f>
        <v>464</v>
      </c>
      <c r="AL49" s="16">
        <f>VLOOKUP($A$49,'集計'!$A$4:$EP$61,146,FALSE)</f>
        <v>1273.54</v>
      </c>
    </row>
    <row r="50" spans="1:38" s="18" customFormat="1" ht="16.5" customHeight="1">
      <c r="A50" s="36" t="s">
        <v>22</v>
      </c>
      <c r="B50" s="15">
        <f>VLOOKUP($A$49,'集計'!$A$4:$EP$61,3,FALSE)</f>
        <v>285</v>
      </c>
      <c r="C50" s="16">
        <f>VLOOKUP($A$49,'集計'!$A$4:$EP$61,7,FALSE)</f>
        <v>65.68</v>
      </c>
      <c r="D50" s="15">
        <f>VLOOKUP($A$49,'集計'!$A$4:$EP$61,11,FALSE)</f>
        <v>46</v>
      </c>
      <c r="E50" s="16">
        <f>VLOOKUP($A$49,'集計'!$A$4:$EP$61,15,FALSE)</f>
        <v>99.8</v>
      </c>
      <c r="F50" s="15">
        <f>VLOOKUP($A$49,'集計'!$A$4:$EP$61,19,FALSE)</f>
        <v>11</v>
      </c>
      <c r="G50" s="16">
        <f>VLOOKUP($A$49,'集計'!$A$4:$EP$61,23,FALSE)</f>
        <v>53.4</v>
      </c>
      <c r="H50" s="15">
        <f>VLOOKUP($A$49,'集計'!$A$4:$EP$61,27,FALSE)</f>
        <v>11</v>
      </c>
      <c r="I50" s="16">
        <f>VLOOKUP($A$49,'集計'!$A$4:$EP$61,31,FALSE)</f>
        <v>184</v>
      </c>
      <c r="J50" s="15">
        <f>VLOOKUP($A$49,'集計'!$A$4:$EP$61,35,FALSE)</f>
        <v>6</v>
      </c>
      <c r="K50" s="16">
        <f>VLOOKUP($A$49,'集計'!$A$4:$EP$61,39,FALSE)</f>
        <v>133.8</v>
      </c>
      <c r="L50" s="15">
        <f>VLOOKUP($A$49,'集計'!$A$4:$EP$61,43,FALSE)</f>
        <v>0</v>
      </c>
      <c r="M50" s="16">
        <f>VLOOKUP($A$49,'集計'!$A$4:$EP$61,47,FALSE)</f>
        <v>0</v>
      </c>
      <c r="N50" s="15">
        <f>VLOOKUP($A$49,'集計'!$A$4:$EP$61,51,FALSE)</f>
        <v>0</v>
      </c>
      <c r="O50" s="16">
        <f>VLOOKUP($A$49,'集計'!$A$4:$EP$61,55,FALSE)</f>
        <v>0</v>
      </c>
      <c r="P50" s="15">
        <f>VLOOKUP($A$49,'集計'!$A$4:$EP$61,59,FALSE)</f>
        <v>1</v>
      </c>
      <c r="Q50" s="16">
        <f>VLOOKUP($A$49,'集計'!$A$4:$EP$61,63,FALSE)</f>
        <v>71.1</v>
      </c>
      <c r="R50" s="15">
        <f>VLOOKUP($A$49,'集計'!$A$4:$EP$61,67,FALSE)</f>
        <v>360</v>
      </c>
      <c r="S50" s="16">
        <f>VLOOKUP($A$49,'集計'!$A$4:$EP$61,71,FALSE)</f>
        <v>607.78</v>
      </c>
      <c r="T50" s="36" t="s">
        <v>22</v>
      </c>
      <c r="U50" s="15">
        <f>VLOOKUP($A$49,'集計'!$A$4:$EP$61,75,FALSE)</f>
        <v>246</v>
      </c>
      <c r="V50" s="16">
        <f>VLOOKUP($A$49,'集計'!$A$4:$EP$61,79,FALSE)</f>
        <v>54.14</v>
      </c>
      <c r="W50" s="15">
        <f>VLOOKUP($A$49,'集計'!$A$4:$EP$61,83,FALSE)</f>
        <v>38</v>
      </c>
      <c r="X50" s="16">
        <f>VLOOKUP($A$49,'集計'!$A$4:$EP$61,87,FALSE)</f>
        <v>69.8</v>
      </c>
      <c r="Y50" s="15">
        <f>VLOOKUP($A$49,'集計'!$A$4:$EP$61,91,FALSE)</f>
        <v>10</v>
      </c>
      <c r="Z50" s="16">
        <f>VLOOKUP($A$49,'集計'!$A$4:$EP$61,95,FALSE)</f>
        <v>38.2</v>
      </c>
      <c r="AA50" s="15">
        <f>VLOOKUP($A$49,'集計'!$A$4:$EP$61,99,FALSE)</f>
        <v>11</v>
      </c>
      <c r="AB50" s="16">
        <f>VLOOKUP($A$49,'集計'!$A$4:$EP$61,103,FALSE)</f>
        <v>137.9</v>
      </c>
      <c r="AC50" s="15">
        <f>VLOOKUP($A$49,'集計'!$A$4:$EP$61,107,FALSE)</f>
        <v>6</v>
      </c>
      <c r="AD50" s="16">
        <f>VLOOKUP($A$49,'集計'!$A$4:$EP$61,111,FALSE)</f>
        <v>115.5</v>
      </c>
      <c r="AE50" s="15">
        <f>VLOOKUP($A$49,'集計'!$A$4:$EP$61,115,FALSE)</f>
        <v>0</v>
      </c>
      <c r="AF50" s="16">
        <f>VLOOKUP($A$49,'集計'!$A$4:$EP$61,119,FALSE)</f>
        <v>0</v>
      </c>
      <c r="AG50" s="15">
        <f>VLOOKUP($A$49,'集計'!$A$4:$EP$61,123,FALSE)</f>
        <v>0</v>
      </c>
      <c r="AH50" s="16">
        <f>VLOOKUP($A$49,'集計'!$A$4:$EP$61,127,FALSE)</f>
        <v>0</v>
      </c>
      <c r="AI50" s="15">
        <f>VLOOKUP($A$49,'集計'!$A$4:$EP$61,131,FALSE)</f>
        <v>1</v>
      </c>
      <c r="AJ50" s="16">
        <f>VLOOKUP($A$49,'集計'!$A$4:$EP$61,135,FALSE)</f>
        <v>59</v>
      </c>
      <c r="AK50" s="15">
        <f>VLOOKUP($A$49,'集計'!$A$4:$EP$61,139,FALSE)</f>
        <v>312</v>
      </c>
      <c r="AL50" s="16">
        <f>VLOOKUP($A$49,'集計'!$A$4:$EP$61,143,FALSE)</f>
        <v>474.54</v>
      </c>
    </row>
    <row r="51" spans="1:38" s="18" customFormat="1" ht="16.5" customHeight="1">
      <c r="A51" s="36" t="s">
        <v>23</v>
      </c>
      <c r="B51" s="15">
        <f>VLOOKUP($A$49,'集計'!$A$4:$EP$61,4,FALSE)</f>
        <v>70</v>
      </c>
      <c r="C51" s="16">
        <f>VLOOKUP($A$49,'集計'!$A$4:$EP$61,8,FALSE)</f>
        <v>19.36</v>
      </c>
      <c r="D51" s="15">
        <f>VLOOKUP($A$49,'集計'!$A$4:$EP$61,(12),FALSE)</f>
        <v>27</v>
      </c>
      <c r="E51" s="16">
        <f>VLOOKUP($A$49,'集計'!$A$4:$EP$61,16,FALSE)</f>
        <v>71.6</v>
      </c>
      <c r="F51" s="15">
        <f>VLOOKUP($A$49,'集計'!$A$4:$EP$61,20,FALSE)</f>
        <v>3</v>
      </c>
      <c r="G51" s="16">
        <f>VLOOKUP($A$49,'集計'!$A$4:$EP$61,24,FALSE)</f>
        <v>17.9</v>
      </c>
      <c r="H51" s="15">
        <f>VLOOKUP($A$49,'集計'!$A$4:$EP$61,28,FALSE)</f>
        <v>2</v>
      </c>
      <c r="I51" s="16">
        <f>VLOOKUP($A$49,'集計'!$A$4:$EP$61,32,FALSE)</f>
        <v>27.6</v>
      </c>
      <c r="J51" s="15">
        <f>VLOOKUP($A$49,'集計'!$A$4:$EP$61,36,FALSE)</f>
        <v>3</v>
      </c>
      <c r="K51" s="16">
        <f>VLOOKUP($A$49,'集計'!$A$4:$EP$61,40,FALSE)</f>
        <v>55.6</v>
      </c>
      <c r="L51" s="15">
        <f>VLOOKUP($A$49,'集計'!$A$4:$EP$61,44,FALSE)</f>
        <v>1</v>
      </c>
      <c r="M51" s="16">
        <f>VLOOKUP($A$49,'集計'!$A$4:$EP$61,48,FALSE)</f>
        <v>25.1</v>
      </c>
      <c r="N51" s="15">
        <f>VLOOKUP($A$49,'集計'!$A$4:$EP$61,52,FALSE)</f>
        <v>0</v>
      </c>
      <c r="O51" s="16">
        <f>VLOOKUP($A$49,'集計'!$A$4:$EP$61,56,FALSE)</f>
        <v>0</v>
      </c>
      <c r="P51" s="15">
        <f>VLOOKUP($A$49,'集計'!$A$4:$EP$61,60,FALSE)</f>
        <v>0</v>
      </c>
      <c r="Q51" s="16">
        <f>VLOOKUP($A$49,'集計'!$A$4:$EP$61,64,FALSE)</f>
        <v>0</v>
      </c>
      <c r="R51" s="15">
        <f>VLOOKUP($A$49,'集計'!$A$4:$EP$61,68,FALSE)</f>
        <v>106</v>
      </c>
      <c r="S51" s="16">
        <f>VLOOKUP($A$49,'集計'!$A$4:$EP$61,72,FALSE)</f>
        <v>217.16</v>
      </c>
      <c r="T51" s="36" t="s">
        <v>23</v>
      </c>
      <c r="U51" s="15">
        <f>VLOOKUP($A$49,'集計'!$A$4:$EP$61,76,FALSE)</f>
        <v>52</v>
      </c>
      <c r="V51" s="16">
        <f>VLOOKUP($A$49,'集計'!$A$4:$EP$61,80,FALSE)</f>
        <v>13.46</v>
      </c>
      <c r="W51" s="15">
        <f>VLOOKUP($A$49,'集計'!$A$4:$EP$61,84,FALSE)</f>
        <v>21</v>
      </c>
      <c r="X51" s="16">
        <f>VLOOKUP($A$49,'集計'!$A$4:$EP$61,88,FALSE)</f>
        <v>46.7</v>
      </c>
      <c r="Y51" s="15">
        <f>VLOOKUP($A$49,'集計'!$A$4:$EP$61,92,FALSE)</f>
        <v>2</v>
      </c>
      <c r="Z51" s="16">
        <f>VLOOKUP($A$49,'集計'!$A$4:$EP$61,96,FALSE)</f>
        <v>10.3</v>
      </c>
      <c r="AA51" s="15">
        <f>VLOOKUP($A$49,'集計'!$A$4:$EP$61,100,FALSE)</f>
        <v>2</v>
      </c>
      <c r="AB51" s="16">
        <f>VLOOKUP($A$49,'集計'!$A$4:$EP$61,104,FALSE)</f>
        <v>20.9</v>
      </c>
      <c r="AC51" s="15">
        <f>VLOOKUP($A$49,'集計'!$A$4:$EP$61,108,FALSE)</f>
        <v>3</v>
      </c>
      <c r="AD51" s="16">
        <f>VLOOKUP($A$49,'集計'!$A$4:$EP$61,112,FALSE)</f>
        <v>50.6</v>
      </c>
      <c r="AE51" s="15">
        <f>VLOOKUP($A$49,'集計'!$A$4:$EP$61,116,FALSE)</f>
        <v>0</v>
      </c>
      <c r="AF51" s="16">
        <f>VLOOKUP($A$49,'集計'!$A$4:$EP$61,120,FALSE)</f>
        <v>0</v>
      </c>
      <c r="AG51" s="15">
        <f>VLOOKUP($A$49,'集計'!$A$4:$EP$61,124,FALSE)</f>
        <v>0</v>
      </c>
      <c r="AH51" s="16">
        <f>VLOOKUP($A$49,'集計'!$A$4:$EP$61,128,FALSE)</f>
        <v>0</v>
      </c>
      <c r="AI51" s="15">
        <f>VLOOKUP($A$49,'集計'!$A$4:$EP$61,132,FALSE)</f>
        <v>0</v>
      </c>
      <c r="AJ51" s="16">
        <f>VLOOKUP($A$49,'集計'!$A$4:$EP$61,136,FALSE)</f>
        <v>0</v>
      </c>
      <c r="AK51" s="15">
        <f>VLOOKUP($A$49,'集計'!$A$4:$EP$61,140,FALSE)</f>
        <v>80</v>
      </c>
      <c r="AL51" s="16">
        <f>VLOOKUP($A$49,'集計'!$A$4:$EP$61,144,FALSE)</f>
        <v>141.96</v>
      </c>
    </row>
    <row r="52" spans="1:38" s="18" customFormat="1" ht="16.5" customHeight="1">
      <c r="A52" s="36" t="s">
        <v>24</v>
      </c>
      <c r="B52" s="15">
        <f>VLOOKUP($A$49,'集計'!$A$4:$EP$61,5,FALSE)</f>
        <v>32</v>
      </c>
      <c r="C52" s="16">
        <f>VLOOKUP($A$49,'集計'!$A$4:$EP$61,9,FALSE)</f>
        <v>10.07</v>
      </c>
      <c r="D52" s="15">
        <f>VLOOKUP($A$49,'集計'!$A$4:$EP$61,13,FALSE)</f>
        <v>12</v>
      </c>
      <c r="E52" s="16">
        <f>VLOOKUP($A$49,'集計'!$A$4:$EP$61,17,FALSE)</f>
        <v>22.8</v>
      </c>
      <c r="F52" s="15">
        <f>VLOOKUP($A$49,'集計'!$A$4:$EP$61,21,FALSE)</f>
        <v>12</v>
      </c>
      <c r="G52" s="16">
        <f>VLOOKUP($A$49,'集計'!$A$4:$EP$61,25,FALSE)</f>
        <v>68.4</v>
      </c>
      <c r="H52" s="15">
        <f>VLOOKUP($A$49,'集計'!$A$4:$EP$61,29,FALSE)</f>
        <v>12</v>
      </c>
      <c r="I52" s="16">
        <f>VLOOKUP($A$49,'集計'!$A$4:$EP$61,33,FALSE)</f>
        <v>251.3</v>
      </c>
      <c r="J52" s="15">
        <f>VLOOKUP($A$49,'集計'!$A$4:$EP$61,37,FALSE)</f>
        <v>2</v>
      </c>
      <c r="K52" s="16">
        <f>VLOOKUP($A$49,'集計'!$A$4:$EP$61,41,FALSE)</f>
        <v>40.5</v>
      </c>
      <c r="L52" s="15">
        <f>VLOOKUP($A$49,'集計'!$A$4:$EP$61,45,FALSE)</f>
        <v>2</v>
      </c>
      <c r="M52" s="16">
        <f>VLOOKUP($A$49,'集計'!$A$4:$EP$61,49,FALSE)</f>
        <v>33.4</v>
      </c>
      <c r="N52" s="15">
        <f>VLOOKUP($A$49,'集計'!$A$4:$EP$61,53,FALSE)</f>
        <v>2</v>
      </c>
      <c r="O52" s="16">
        <f>VLOOKUP($A$49,'集計'!$A$4:$EP$61,57,FALSE)</f>
        <v>289.9</v>
      </c>
      <c r="P52" s="15">
        <f>VLOOKUP($A$49,'集計'!$A$4:$EP$61,61,FALSE)</f>
        <v>6</v>
      </c>
      <c r="Q52" s="16">
        <f>VLOOKUP($A$49,'集計'!$A$4:$EP$61,65,FALSE)</f>
        <v>585.3</v>
      </c>
      <c r="R52" s="15">
        <f>VLOOKUP($A$49,'集計'!$A$4:$EP$61,69,FALSE)</f>
        <v>80</v>
      </c>
      <c r="S52" s="16">
        <f>VLOOKUP($A$49,'集計'!$A$4:$EP$61,73,FALSE)</f>
        <v>1301.67</v>
      </c>
      <c r="T52" s="36" t="s">
        <v>24</v>
      </c>
      <c r="U52" s="15">
        <f>VLOOKUP($A$49,'集計'!$A$4:$EP$61,77,FALSE)</f>
        <v>27</v>
      </c>
      <c r="V52" s="16">
        <f>VLOOKUP($A$49,'集計'!$A$4:$EP$61,81,FALSE)</f>
        <v>8.44</v>
      </c>
      <c r="W52" s="15">
        <f>VLOOKUP($A$49,'集計'!$A$4:$EP$61,85,FALSE)</f>
        <v>10</v>
      </c>
      <c r="X52" s="16">
        <f>VLOOKUP($A$49,'集計'!$A$4:$EP$61,89,FALSE)</f>
        <v>16</v>
      </c>
      <c r="Y52" s="15">
        <f>VLOOKUP($A$49,'集計'!$A$4:$EP$61,93,FALSE)</f>
        <v>12</v>
      </c>
      <c r="Z52" s="16">
        <f>VLOOKUP($A$49,'集計'!$A$4:$EP$61,97,FALSE)</f>
        <v>59.8</v>
      </c>
      <c r="AA52" s="15">
        <f>VLOOKUP($A$49,'集計'!$A$4:$EP$61,101,FALSE)</f>
        <v>10</v>
      </c>
      <c r="AB52" s="16">
        <f>VLOOKUP($A$49,'集計'!$A$4:$EP$61,105,FALSE)</f>
        <v>107.1</v>
      </c>
      <c r="AC52" s="15">
        <f>VLOOKUP($A$49,'集計'!$A$4:$EP$61,109,FALSE)</f>
        <v>2</v>
      </c>
      <c r="AD52" s="16">
        <f>VLOOKUP($A$49,'集計'!$A$4:$EP$61,113,FALSE)</f>
        <v>33.6</v>
      </c>
      <c r="AE52" s="15">
        <f>VLOOKUP($A$49,'集計'!$A$4:$EP$61,117,FALSE)</f>
        <v>2</v>
      </c>
      <c r="AF52" s="16">
        <f>VLOOKUP($A$49,'集計'!$A$4:$EP$61,121,FALSE)</f>
        <v>24.7</v>
      </c>
      <c r="AG52" s="15">
        <f>VLOOKUP($A$49,'集計'!$A$4:$EP$61,125,FALSE)</f>
        <v>2</v>
      </c>
      <c r="AH52" s="16">
        <f>VLOOKUP($A$49,'集計'!$A$4:$EP$61,129,FALSE)</f>
        <v>15.3</v>
      </c>
      <c r="AI52" s="15">
        <f>VLOOKUP($A$49,'集計'!$A$4:$EP$61,133,FALSE)</f>
        <v>7</v>
      </c>
      <c r="AJ52" s="16">
        <f>VLOOKUP($A$49,'集計'!$A$4:$EP$61,137,FALSE)</f>
        <v>392.1</v>
      </c>
      <c r="AK52" s="15">
        <f>VLOOKUP($A$49,'集計'!$A$4:$EP$61,141,FALSE)</f>
        <v>72</v>
      </c>
      <c r="AL52" s="16">
        <f>VLOOKUP($A$49,'集計'!$A$4:$EP$61,145,FALSE)</f>
        <v>657.04</v>
      </c>
    </row>
    <row r="53" spans="1:38" s="18" customFormat="1" ht="16.5" customHeight="1">
      <c r="A53" s="32"/>
      <c r="B53" s="19"/>
      <c r="C53" s="20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0"/>
      <c r="P53" s="19"/>
      <c r="Q53" s="20"/>
      <c r="R53" s="19"/>
      <c r="S53" s="20"/>
      <c r="T53" s="32"/>
      <c r="U53" s="19"/>
      <c r="V53" s="20"/>
      <c r="W53" s="19"/>
      <c r="X53" s="20"/>
      <c r="Y53" s="19"/>
      <c r="Z53" s="20"/>
      <c r="AA53" s="19"/>
      <c r="AB53" s="20"/>
      <c r="AC53" s="19"/>
      <c r="AD53" s="20"/>
      <c r="AE53" s="19"/>
      <c r="AF53" s="20"/>
      <c r="AG53" s="19"/>
      <c r="AH53" s="20"/>
      <c r="AI53" s="19"/>
      <c r="AJ53" s="20"/>
      <c r="AK53" s="19"/>
      <c r="AL53" s="20"/>
    </row>
    <row r="54" spans="1:38" ht="13.5">
      <c r="A54" s="32" t="s">
        <v>25</v>
      </c>
      <c r="B54" s="15">
        <f>VLOOKUP($A$54,'集計'!$A$4:$EP$61,6,FALSE)</f>
        <v>3318</v>
      </c>
      <c r="C54" s="16">
        <f>VLOOKUP($A$54,'集計'!$A$4:$EP$61,10,FALSE)</f>
        <v>769.91</v>
      </c>
      <c r="D54" s="15">
        <f>VLOOKUP($A$54,'集計'!$A$4:$EP$61,14,FALSE)</f>
        <v>465</v>
      </c>
      <c r="E54" s="16">
        <f>VLOOKUP($A$54,'集計'!$A$4:$EP$61,18,FALSE)</f>
        <v>897.8</v>
      </c>
      <c r="F54" s="15">
        <f>VLOOKUP($A$54,'集計'!$A$4:$EP$61,22,FALSE)</f>
        <v>101</v>
      </c>
      <c r="G54" s="16">
        <f>VLOOKUP($A$54,'集計'!$A$4:$EP$61,26,FALSE)</f>
        <v>549.3</v>
      </c>
      <c r="H54" s="15">
        <f>VLOOKUP($A$54,'集計'!$A$4:$EP$61,30,FALSE)</f>
        <v>97</v>
      </c>
      <c r="I54" s="16">
        <f>VLOOKUP($A$54,'集計'!$A$4:$EP$61,34,FALSE)</f>
        <v>3441.2</v>
      </c>
      <c r="J54" s="15">
        <f>VLOOKUP($A$54,'集計'!$A$4:$EP$61,38,FALSE)</f>
        <v>49</v>
      </c>
      <c r="K54" s="16">
        <f>VLOOKUP($A$54,'集計'!$A$4:$EP$61,42,FALSE)</f>
        <v>1143</v>
      </c>
      <c r="L54" s="15">
        <f>VLOOKUP($A$54,'集計'!$A$4:$EP$61,46,FALSE)</f>
        <v>15</v>
      </c>
      <c r="M54" s="16">
        <f>VLOOKUP($A$54,'集計'!$A$4:$EP$61,50,FALSE)</f>
        <v>595.1</v>
      </c>
      <c r="N54" s="15">
        <f>VLOOKUP($A$54,'集計'!$A$4:$EP$61,54,FALSE)</f>
        <v>11</v>
      </c>
      <c r="O54" s="16">
        <f>VLOOKUP($A$54,'集計'!$A$4:$EP$61,58,FALSE)</f>
        <v>644.3</v>
      </c>
      <c r="P54" s="15">
        <f>VLOOKUP($A$54,'集計'!$A$4:$EP$61,62,FALSE)</f>
        <v>12</v>
      </c>
      <c r="Q54" s="16">
        <f>VLOOKUP($A$54,'集計'!$A$4:$EP$61,66,FALSE)</f>
        <v>1672.2</v>
      </c>
      <c r="R54" s="15">
        <f>VLOOKUP($A$54,'集計'!$A$4:$EP$61,70,FALSE)</f>
        <v>4068</v>
      </c>
      <c r="S54" s="16">
        <f>VLOOKUP($A$54,'集計'!$A$4:$EP$61,74,FALSE)</f>
        <v>9712.81</v>
      </c>
      <c r="T54" s="32" t="s">
        <v>25</v>
      </c>
      <c r="U54" s="15">
        <f>VLOOKUP($A$54,'集計'!$A$4:$EP$61,78,FALSE)</f>
        <v>3234</v>
      </c>
      <c r="V54" s="16">
        <f>VLOOKUP($A$54,'集計'!$A$4:$EP$61,82,FALSE)</f>
        <v>747.86</v>
      </c>
      <c r="W54" s="15">
        <f>VLOOKUP($A$54,'集計'!$A$4:$EP$61,86,FALSE)</f>
        <v>445</v>
      </c>
      <c r="X54" s="16">
        <f>VLOOKUP($A$54,'集計'!$A$4:$EP$61,90,FALSE)</f>
        <v>845.3</v>
      </c>
      <c r="Y54" s="15">
        <f>VLOOKUP($A$54,'集計'!$A$4:$EP$61,94,FALSE)</f>
        <v>96</v>
      </c>
      <c r="Z54" s="16">
        <f>VLOOKUP($A$54,'集計'!$A$4:$EP$61,98,FALSE)</f>
        <v>500.35</v>
      </c>
      <c r="AA54" s="15">
        <f>VLOOKUP($A$54,'集計'!$A$4:$EP$61,102,FALSE)</f>
        <v>91</v>
      </c>
      <c r="AB54" s="16">
        <f>VLOOKUP($A$54,'集計'!$A$4:$EP$61,106,FALSE)</f>
        <v>2826.9</v>
      </c>
      <c r="AC54" s="15">
        <f>VLOOKUP($A$54,'集計'!$A$4:$EP$61,110,FALSE)</f>
        <v>48</v>
      </c>
      <c r="AD54" s="16">
        <f>VLOOKUP($A$54,'集計'!$A$4:$EP$61,114,FALSE)</f>
        <v>932.5</v>
      </c>
      <c r="AE54" s="15">
        <f>VLOOKUP($A$54,'集計'!$A$4:$EP$61,118,FALSE)</f>
        <v>14</v>
      </c>
      <c r="AF54" s="16">
        <f>VLOOKUP($A$54,'集計'!$A$4:$EP$61,122,FALSE)</f>
        <v>566.2</v>
      </c>
      <c r="AG54" s="15">
        <f>VLOOKUP($A$54,'集計'!$A$4:$EP$61,126,FALSE)</f>
        <v>11</v>
      </c>
      <c r="AH54" s="16">
        <f>VLOOKUP($A$54,'集計'!$A$4:$EP$61,130,FALSE)</f>
        <v>170.4</v>
      </c>
      <c r="AI54" s="15">
        <f>VLOOKUP($A$54,'集計'!$A$4:$EP$61,134,FALSE)</f>
        <v>12</v>
      </c>
      <c r="AJ54" s="16">
        <f>VLOOKUP($A$54,'集計'!$A$4:$EP$61,138,FALSE)</f>
        <v>1384.9</v>
      </c>
      <c r="AK54" s="15">
        <f>VLOOKUP($A$54,'集計'!$A$4:$EP$61,142,FALSE)</f>
        <v>3951</v>
      </c>
      <c r="AL54" s="16">
        <f>VLOOKUP($A$54,'集計'!$A$4:$EP$61,146,FALSE)</f>
        <v>7974.41</v>
      </c>
    </row>
    <row r="55" spans="1:38" ht="13.5">
      <c r="A55" s="32" t="s">
        <v>22</v>
      </c>
      <c r="B55" s="15">
        <f>VLOOKUP($A$54,'集計'!$A$4:$EP$61,3,FALSE)</f>
        <v>2570</v>
      </c>
      <c r="C55" s="16">
        <f>VLOOKUP($A$54,'集計'!$A$4:$EP$61,7,FALSE)</f>
        <v>582.67</v>
      </c>
      <c r="D55" s="15">
        <f>VLOOKUP($A$54,'集計'!$A$4:$EP$61,11,FALSE)</f>
        <v>299</v>
      </c>
      <c r="E55" s="16">
        <f>VLOOKUP($A$54,'集計'!$A$4:$EP$61,15,FALSE)</f>
        <v>535.5</v>
      </c>
      <c r="F55" s="15">
        <f>VLOOKUP($A$54,'集計'!$A$4:$EP$61,19,FALSE)</f>
        <v>49</v>
      </c>
      <c r="G55" s="16">
        <f>VLOOKUP($A$54,'集計'!$A$4:$EP$61,23,FALSE)</f>
        <v>276.6</v>
      </c>
      <c r="H55" s="15">
        <f>VLOOKUP($A$54,'集計'!$A$4:$EP$61,27,FALSE)</f>
        <v>26</v>
      </c>
      <c r="I55" s="16">
        <f>VLOOKUP($A$54,'集計'!$A$4:$EP$61,31,FALSE)</f>
        <v>698.1</v>
      </c>
      <c r="J55" s="15">
        <f>VLOOKUP($A$54,'集計'!$A$4:$EP$61,35,FALSE)</f>
        <v>16</v>
      </c>
      <c r="K55" s="16">
        <f>VLOOKUP($A$54,'集計'!$A$4:$EP$61,39,FALSE)</f>
        <v>247.6</v>
      </c>
      <c r="L55" s="15">
        <f>VLOOKUP($A$54,'集計'!$A$4:$EP$61,43,FALSE)</f>
        <v>1</v>
      </c>
      <c r="M55" s="16">
        <f>VLOOKUP($A$54,'集計'!$A$4:$EP$61,47,FALSE)</f>
        <v>0.6</v>
      </c>
      <c r="N55" s="15">
        <f>VLOOKUP($A$54,'集計'!$A$4:$EP$61,51,FALSE)</f>
        <v>2</v>
      </c>
      <c r="O55" s="16">
        <f>VLOOKUP($A$54,'集計'!$A$4:$EP$61,55,FALSE)</f>
        <v>3.6</v>
      </c>
      <c r="P55" s="15">
        <f>VLOOKUP($A$54,'集計'!$A$4:$EP$61,59,FALSE)</f>
        <v>0</v>
      </c>
      <c r="Q55" s="16">
        <f>VLOOKUP($A$54,'集計'!$A$4:$EP$61,63,FALSE)</f>
        <v>16</v>
      </c>
      <c r="R55" s="15">
        <f>VLOOKUP($A$54,'集計'!$A$4:$EP$61,67,FALSE)</f>
        <v>2963</v>
      </c>
      <c r="S55" s="16">
        <f>VLOOKUP($A$54,'集計'!$A$4:$EP$61,71,FALSE)</f>
        <v>2360.67</v>
      </c>
      <c r="T55" s="32" t="s">
        <v>22</v>
      </c>
      <c r="U55" s="15">
        <f>VLOOKUP($A$54,'集計'!$A$4:$EP$61,75,FALSE)</f>
        <v>2539</v>
      </c>
      <c r="V55" s="16">
        <f>VLOOKUP($A$54,'集計'!$A$4:$EP$61,79,FALSE)</f>
        <v>575.63</v>
      </c>
      <c r="W55" s="15">
        <f>VLOOKUP($A$54,'集計'!$A$4:$EP$61,83,FALSE)</f>
        <v>292</v>
      </c>
      <c r="X55" s="16">
        <f>VLOOKUP($A$54,'集計'!$A$4:$EP$61,87,FALSE)</f>
        <v>517.3</v>
      </c>
      <c r="Y55" s="15">
        <f>VLOOKUP($A$54,'集計'!$A$4:$EP$61,91,FALSE)</f>
        <v>49</v>
      </c>
      <c r="Z55" s="16">
        <f>VLOOKUP($A$54,'集計'!$A$4:$EP$61,95,FALSE)</f>
        <v>265.15</v>
      </c>
      <c r="AA55" s="15">
        <f>VLOOKUP($A$54,'集計'!$A$4:$EP$61,99,FALSE)</f>
        <v>26</v>
      </c>
      <c r="AB55" s="16">
        <f>VLOOKUP($A$54,'集計'!$A$4:$EP$61,103,FALSE)</f>
        <v>603.1</v>
      </c>
      <c r="AC55" s="15">
        <f>VLOOKUP($A$54,'集計'!$A$4:$EP$61,107,FALSE)</f>
        <v>16</v>
      </c>
      <c r="AD55" s="16">
        <f>VLOOKUP($A$54,'集計'!$A$4:$EP$61,111,FALSE)</f>
        <v>245.2</v>
      </c>
      <c r="AE55" s="15">
        <f>VLOOKUP($A$54,'集計'!$A$4:$EP$61,115,FALSE)</f>
        <v>1</v>
      </c>
      <c r="AF55" s="16">
        <f>VLOOKUP($A$54,'集計'!$A$4:$EP$61,119,FALSE)</f>
        <v>0.6</v>
      </c>
      <c r="AG55" s="15">
        <f>VLOOKUP($A$54,'集計'!$A$4:$EP$61,123,FALSE)</f>
        <v>2</v>
      </c>
      <c r="AH55" s="16">
        <f>VLOOKUP($A$54,'集計'!$A$4:$EP$61,127,FALSE)</f>
        <v>3.5</v>
      </c>
      <c r="AI55" s="15">
        <f>VLOOKUP($A$54,'集計'!$A$4:$EP$61,131,FALSE)</f>
        <v>0</v>
      </c>
      <c r="AJ55" s="16">
        <f>VLOOKUP($A$54,'集計'!$A$4:$EP$61,135,FALSE)</f>
        <v>16</v>
      </c>
      <c r="AK55" s="15">
        <f>VLOOKUP($A$54,'集計'!$A$4:$EP$61,139,FALSE)</f>
        <v>2925</v>
      </c>
      <c r="AL55" s="16">
        <f>VLOOKUP($A$54,'集計'!$A$4:$EP$61,143,FALSE)</f>
        <v>2226.48</v>
      </c>
    </row>
    <row r="56" spans="1:38" ht="13.5">
      <c r="A56" s="32" t="s">
        <v>23</v>
      </c>
      <c r="B56" s="15">
        <f>VLOOKUP($A$54,'集計'!$A$4:$EP$61,4,FALSE)</f>
        <v>730</v>
      </c>
      <c r="C56" s="16">
        <f>VLOOKUP($A$54,'集計'!$A$4:$EP$61,8,FALSE)</f>
        <v>181.05</v>
      </c>
      <c r="D56" s="15">
        <f>VLOOKUP($A$54,'集計'!$A$4:$EP$61,(12),FALSE)</f>
        <v>151</v>
      </c>
      <c r="E56" s="16">
        <f>VLOOKUP($A$54,'集計'!$A$4:$EP$61,16,FALSE)</f>
        <v>318.4</v>
      </c>
      <c r="F56" s="15">
        <f>VLOOKUP($A$54,'集計'!$A$4:$EP$61,20,FALSE)</f>
        <v>41</v>
      </c>
      <c r="G56" s="16">
        <f>VLOOKUP($A$54,'集計'!$A$4:$EP$61,24,FALSE)</f>
        <v>207.7</v>
      </c>
      <c r="H56" s="15">
        <f>VLOOKUP($A$54,'集計'!$A$4:$EP$61,28,FALSE)</f>
        <v>31</v>
      </c>
      <c r="I56" s="16">
        <f>VLOOKUP($A$54,'集計'!$A$4:$EP$61,32,FALSE)</f>
        <v>730.4</v>
      </c>
      <c r="J56" s="15">
        <f>VLOOKUP($A$54,'集計'!$A$4:$EP$61,36,FALSE)</f>
        <v>11</v>
      </c>
      <c r="K56" s="16">
        <f>VLOOKUP($A$54,'集計'!$A$4:$EP$61,40,FALSE)</f>
        <v>211.4</v>
      </c>
      <c r="L56" s="15">
        <f>VLOOKUP($A$54,'集計'!$A$4:$EP$61,44,FALSE)</f>
        <v>2</v>
      </c>
      <c r="M56" s="16">
        <f>VLOOKUP($A$54,'集計'!$A$4:$EP$61,48,FALSE)</f>
        <v>9.2</v>
      </c>
      <c r="N56" s="15">
        <f>VLOOKUP($A$54,'集計'!$A$4:$EP$61,52,FALSE)</f>
        <v>3</v>
      </c>
      <c r="O56" s="16">
        <f>VLOOKUP($A$54,'集計'!$A$4:$EP$61,56,FALSE)</f>
        <v>21.6</v>
      </c>
      <c r="P56" s="15">
        <f>VLOOKUP($A$54,'集計'!$A$4:$EP$61,60,FALSE)</f>
        <v>1</v>
      </c>
      <c r="Q56" s="16">
        <f>VLOOKUP($A$54,'集計'!$A$4:$EP$61,64,FALSE)</f>
        <v>68.7</v>
      </c>
      <c r="R56" s="15">
        <f>VLOOKUP($A$54,'集計'!$A$4:$EP$61,68,FALSE)</f>
        <v>970</v>
      </c>
      <c r="S56" s="16">
        <f>VLOOKUP($A$54,'集計'!$A$4:$EP$61,72,FALSE)</f>
        <v>1748.45</v>
      </c>
      <c r="T56" s="32" t="s">
        <v>23</v>
      </c>
      <c r="U56" s="15">
        <f>VLOOKUP($A$54,'集計'!$A$4:$EP$61,76,FALSE)</f>
        <v>679</v>
      </c>
      <c r="V56" s="16">
        <f>VLOOKUP($A$54,'集計'!$A$4:$EP$61,80,FALSE)</f>
        <v>167.41</v>
      </c>
      <c r="W56" s="15">
        <f>VLOOKUP($A$54,'集計'!$A$4:$EP$61,84,FALSE)</f>
        <v>139</v>
      </c>
      <c r="X56" s="16">
        <f>VLOOKUP($A$54,'集計'!$A$4:$EP$61,88,FALSE)</f>
        <v>290.7</v>
      </c>
      <c r="Y56" s="15">
        <f>VLOOKUP($A$54,'集計'!$A$4:$EP$61,92,FALSE)</f>
        <v>36</v>
      </c>
      <c r="Z56" s="16">
        <f>VLOOKUP($A$54,'集計'!$A$4:$EP$61,96,FALSE)</f>
        <v>174.7</v>
      </c>
      <c r="AA56" s="15">
        <f>VLOOKUP($A$54,'集計'!$A$4:$EP$61,100,FALSE)</f>
        <v>30</v>
      </c>
      <c r="AB56" s="16">
        <f>VLOOKUP($A$54,'集計'!$A$4:$EP$61,104,FALSE)</f>
        <v>655.5</v>
      </c>
      <c r="AC56" s="15">
        <f>VLOOKUP($A$54,'集計'!$A$4:$EP$61,108,FALSE)</f>
        <v>12</v>
      </c>
      <c r="AD56" s="16">
        <f>VLOOKUP($A$54,'集計'!$A$4:$EP$61,112,FALSE)</f>
        <v>190.2</v>
      </c>
      <c r="AE56" s="15">
        <f>VLOOKUP($A$54,'集計'!$A$4:$EP$61,116,FALSE)</f>
        <v>2</v>
      </c>
      <c r="AF56" s="16">
        <f>VLOOKUP($A$54,'集計'!$A$4:$EP$61,120,FALSE)</f>
        <v>9.2</v>
      </c>
      <c r="AG56" s="15">
        <f>VLOOKUP($A$54,'集計'!$A$4:$EP$61,124,FALSE)</f>
        <v>3</v>
      </c>
      <c r="AH56" s="16">
        <f>VLOOKUP($A$54,'集計'!$A$4:$EP$61,128,FALSE)</f>
        <v>21.5</v>
      </c>
      <c r="AI56" s="15">
        <f>VLOOKUP($A$54,'集計'!$A$4:$EP$61,132,FALSE)</f>
        <v>1</v>
      </c>
      <c r="AJ56" s="16">
        <f>VLOOKUP($A$54,'集計'!$A$4:$EP$61,136,FALSE)</f>
        <v>68.7</v>
      </c>
      <c r="AK56" s="15">
        <f>VLOOKUP($A$54,'集計'!$A$4:$EP$61,140,FALSE)</f>
        <v>902</v>
      </c>
      <c r="AL56" s="16">
        <f>VLOOKUP($A$54,'集計'!$A$4:$EP$61,144,FALSE)</f>
        <v>1577.91</v>
      </c>
    </row>
    <row r="57" spans="1:38" ht="13.5">
      <c r="A57" s="32" t="s">
        <v>24</v>
      </c>
      <c r="B57" s="15">
        <f>VLOOKUP($A$54,'集計'!$A$4:$EP$61,5,FALSE)</f>
        <v>18</v>
      </c>
      <c r="C57" s="16">
        <f>VLOOKUP($A$54,'集計'!$A$4:$EP$61,9,FALSE)</f>
        <v>6.19</v>
      </c>
      <c r="D57" s="15">
        <f>VLOOKUP($A$54,'集計'!$A$4:$EP$61,13,FALSE)</f>
        <v>15</v>
      </c>
      <c r="E57" s="16">
        <f>VLOOKUP($A$54,'集計'!$A$4:$EP$61,17,FALSE)</f>
        <v>43.9</v>
      </c>
      <c r="F57" s="15">
        <f>VLOOKUP($A$54,'集計'!$A$4:$EP$61,21,FALSE)</f>
        <v>11</v>
      </c>
      <c r="G57" s="16">
        <f>VLOOKUP($A$54,'集計'!$A$4:$EP$61,25,FALSE)</f>
        <v>65</v>
      </c>
      <c r="H57" s="15">
        <f>VLOOKUP($A$54,'集計'!$A$4:$EP$61,29,FALSE)</f>
        <v>40</v>
      </c>
      <c r="I57" s="16">
        <f>VLOOKUP($A$54,'集計'!$A$4:$EP$61,33,FALSE)</f>
        <v>2012.7</v>
      </c>
      <c r="J57" s="15">
        <f>VLOOKUP($A$54,'集計'!$A$4:$EP$61,37,FALSE)</f>
        <v>22</v>
      </c>
      <c r="K57" s="16">
        <f>VLOOKUP($A$54,'集計'!$A$4:$EP$61,41,FALSE)</f>
        <v>684</v>
      </c>
      <c r="L57" s="15">
        <f>VLOOKUP($A$54,'集計'!$A$4:$EP$61,45,FALSE)</f>
        <v>12</v>
      </c>
      <c r="M57" s="16">
        <f>VLOOKUP($A$54,'集計'!$A$4:$EP$61,49,FALSE)</f>
        <v>585.3</v>
      </c>
      <c r="N57" s="15">
        <f>VLOOKUP($A$54,'集計'!$A$4:$EP$61,53,FALSE)</f>
        <v>6</v>
      </c>
      <c r="O57" s="16">
        <f>VLOOKUP($A$54,'集計'!$A$4:$EP$61,57,FALSE)</f>
        <v>619.1</v>
      </c>
      <c r="P57" s="15">
        <f>VLOOKUP($A$54,'集計'!$A$4:$EP$61,61,FALSE)</f>
        <v>11</v>
      </c>
      <c r="Q57" s="16">
        <f>VLOOKUP($A$54,'集計'!$A$4:$EP$61,65,FALSE)</f>
        <v>1587.5</v>
      </c>
      <c r="R57" s="15">
        <f>VLOOKUP($A$54,'集計'!$A$4:$EP$61,69,FALSE)</f>
        <v>135</v>
      </c>
      <c r="S57" s="16">
        <f>VLOOKUP($A$54,'集計'!$A$4:$EP$61,73,FALSE)</f>
        <v>5603.69</v>
      </c>
      <c r="T57" s="32" t="s">
        <v>24</v>
      </c>
      <c r="U57" s="15">
        <f>VLOOKUP($A$54,'集計'!$A$4:$EP$61,77,FALSE)</f>
        <v>16</v>
      </c>
      <c r="V57" s="16">
        <f>VLOOKUP($A$54,'集計'!$A$4:$EP$61,81,FALSE)</f>
        <v>4.82</v>
      </c>
      <c r="W57" s="15">
        <f>VLOOKUP($A$54,'集計'!$A$4:$EP$61,85,FALSE)</f>
        <v>14</v>
      </c>
      <c r="X57" s="16">
        <f>VLOOKUP($A$54,'集計'!$A$4:$EP$61,89,FALSE)</f>
        <v>37.3</v>
      </c>
      <c r="Y57" s="15">
        <f>VLOOKUP($A$54,'集計'!$A$4:$EP$61,93,FALSE)</f>
        <v>11</v>
      </c>
      <c r="Z57" s="16">
        <f>VLOOKUP($A$54,'集計'!$A$4:$EP$61,97,FALSE)</f>
        <v>60.5</v>
      </c>
      <c r="AA57" s="15">
        <f>VLOOKUP($A$54,'集計'!$A$4:$EP$61,101,FALSE)</f>
        <v>35</v>
      </c>
      <c r="AB57" s="16">
        <f>VLOOKUP($A$54,'集計'!$A$4:$EP$61,105,FALSE)</f>
        <v>1568.3</v>
      </c>
      <c r="AC57" s="15">
        <f>VLOOKUP($A$54,'集計'!$A$4:$EP$61,109,FALSE)</f>
        <v>20</v>
      </c>
      <c r="AD57" s="16">
        <f>VLOOKUP($A$54,'集計'!$A$4:$EP$61,113,FALSE)</f>
        <v>497.1</v>
      </c>
      <c r="AE57" s="15">
        <f>VLOOKUP($A$54,'集計'!$A$4:$EP$61,117,FALSE)</f>
        <v>11</v>
      </c>
      <c r="AF57" s="16">
        <f>VLOOKUP($A$54,'集計'!$A$4:$EP$61,121,FALSE)</f>
        <v>556.4</v>
      </c>
      <c r="AG57" s="15">
        <f>VLOOKUP($A$54,'集計'!$A$4:$EP$61,125,FALSE)</f>
        <v>6</v>
      </c>
      <c r="AH57" s="16">
        <f>VLOOKUP($A$54,'集計'!$A$4:$EP$61,129,FALSE)</f>
        <v>145.4</v>
      </c>
      <c r="AI57" s="15">
        <f>VLOOKUP($A$54,'集計'!$A$4:$EP$61,133,FALSE)</f>
        <v>11</v>
      </c>
      <c r="AJ57" s="16">
        <f>VLOOKUP($A$54,'集計'!$A$4:$EP$61,137,FALSE)</f>
        <v>1300.2</v>
      </c>
      <c r="AK57" s="15">
        <f>VLOOKUP($A$54,'集計'!$A$4:$EP$61,141,FALSE)</f>
        <v>124</v>
      </c>
      <c r="AL57" s="16">
        <f>VLOOKUP($A$54,'集計'!$A$4:$EP$61,145,FALSE)</f>
        <v>4170.02</v>
      </c>
    </row>
    <row r="58" spans="1:38" ht="13.5">
      <c r="A58" s="32"/>
      <c r="B58" s="19"/>
      <c r="C58" s="20"/>
      <c r="D58" s="19"/>
      <c r="E58" s="20"/>
      <c r="F58" s="19"/>
      <c r="G58" s="20"/>
      <c r="H58" s="19"/>
      <c r="I58" s="20"/>
      <c r="J58" s="19"/>
      <c r="K58" s="20"/>
      <c r="L58" s="19"/>
      <c r="M58" s="20"/>
      <c r="N58" s="19"/>
      <c r="O58" s="20"/>
      <c r="P58" s="19"/>
      <c r="Q58" s="20"/>
      <c r="R58" s="19"/>
      <c r="S58" s="20"/>
      <c r="T58" s="32"/>
      <c r="U58" s="19"/>
      <c r="V58" s="20"/>
      <c r="W58" s="19"/>
      <c r="X58" s="20"/>
      <c r="Y58" s="19"/>
      <c r="Z58" s="20"/>
      <c r="AA58" s="19"/>
      <c r="AB58" s="20"/>
      <c r="AC58" s="19"/>
      <c r="AD58" s="20"/>
      <c r="AE58" s="19"/>
      <c r="AF58" s="20"/>
      <c r="AG58" s="19"/>
      <c r="AH58" s="20"/>
      <c r="AI58" s="19"/>
      <c r="AJ58" s="20"/>
      <c r="AK58" s="19"/>
      <c r="AL58" s="20"/>
    </row>
    <row r="59" spans="1:38" ht="13.5">
      <c r="A59" s="32" t="s">
        <v>26</v>
      </c>
      <c r="B59" s="15">
        <f>VLOOKUP($A$59,'集計'!$A$4:$EP$61,6,FALSE)</f>
        <v>329</v>
      </c>
      <c r="C59" s="16">
        <f>VLOOKUP($A$59,'集計'!$A$4:$EP$61,10,FALSE)</f>
        <v>92.7</v>
      </c>
      <c r="D59" s="15">
        <f>VLOOKUP($A$59,'集計'!$A$4:$EP$61,14,FALSE)</f>
        <v>53</v>
      </c>
      <c r="E59" s="16">
        <f>VLOOKUP($A$59,'集計'!$A$4:$EP$61,18,FALSE)</f>
        <v>94</v>
      </c>
      <c r="F59" s="15">
        <f>VLOOKUP($A$59,'集計'!$A$4:$EP$61,22,FALSE)</f>
        <v>17</v>
      </c>
      <c r="G59" s="16">
        <f>VLOOKUP($A$59,'集計'!$A$4:$EP$61,26,FALSE)</f>
        <v>105.9</v>
      </c>
      <c r="H59" s="15">
        <f>VLOOKUP($A$59,'集計'!$A$4:$EP$61,30,FALSE)</f>
        <v>16</v>
      </c>
      <c r="I59" s="16">
        <f>VLOOKUP($A$59,'集計'!$A$4:$EP$61,34,FALSE)</f>
        <v>588</v>
      </c>
      <c r="J59" s="15">
        <f>VLOOKUP($A$59,'集計'!$A$4:$EP$61,38,FALSE)</f>
        <v>14</v>
      </c>
      <c r="K59" s="16">
        <f>VLOOKUP($A$59,'集計'!$A$4:$EP$61,42,FALSE)</f>
        <v>428.9</v>
      </c>
      <c r="L59" s="15">
        <f>VLOOKUP($A$59,'集計'!$A$4:$EP$61,46,FALSE)</f>
        <v>2</v>
      </c>
      <c r="M59" s="16">
        <f>VLOOKUP($A$59,'集計'!$A$4:$EP$61,50,FALSE)</f>
        <v>24.4</v>
      </c>
      <c r="N59" s="15">
        <f>VLOOKUP($A$59,'集計'!$A$4:$EP$61,54,FALSE)</f>
        <v>1</v>
      </c>
      <c r="O59" s="16">
        <f>VLOOKUP($A$59,'集計'!$A$4:$EP$61,58,FALSE)</f>
        <v>19.7</v>
      </c>
      <c r="P59" s="15">
        <f>VLOOKUP($A$59,'集計'!$A$4:$EP$61,62,FALSE)</f>
        <v>3</v>
      </c>
      <c r="Q59" s="16">
        <f>VLOOKUP($A$59,'集計'!$A$4:$EP$61,66,FALSE)</f>
        <v>450</v>
      </c>
      <c r="R59" s="15">
        <f>VLOOKUP($A$59,'集計'!$A$4:$EP$61,70,FALSE)</f>
        <v>435</v>
      </c>
      <c r="S59" s="16">
        <f>VLOOKUP($A$59,'集計'!$A$4:$EP$61,74,FALSE)</f>
        <v>1803.6</v>
      </c>
      <c r="T59" s="32" t="s">
        <v>26</v>
      </c>
      <c r="U59" s="15">
        <f>VLOOKUP($A$59,'集計'!$A$4:$EP$61,78,FALSE)</f>
        <v>316</v>
      </c>
      <c r="V59" s="16">
        <f>VLOOKUP($A$59,'集計'!$A$4:$EP$61,82,FALSE)</f>
        <v>87.94</v>
      </c>
      <c r="W59" s="15">
        <f>VLOOKUP($A$59,'集計'!$A$4:$EP$61,86,FALSE)</f>
        <v>52</v>
      </c>
      <c r="X59" s="16">
        <f>VLOOKUP($A$59,'集計'!$A$4:$EP$61,90,FALSE)</f>
        <v>86.4</v>
      </c>
      <c r="Y59" s="15">
        <f>VLOOKUP($A$59,'集計'!$A$4:$EP$61,94,FALSE)</f>
        <v>17</v>
      </c>
      <c r="Z59" s="16">
        <f>VLOOKUP($A$59,'集計'!$A$4:$EP$61,98,FALSE)</f>
        <v>89</v>
      </c>
      <c r="AA59" s="15">
        <f>VLOOKUP($A$59,'集計'!$A$4:$EP$61,102,FALSE)</f>
        <v>17</v>
      </c>
      <c r="AB59" s="16">
        <f>VLOOKUP($A$59,'集計'!$A$4:$EP$61,106,FALSE)</f>
        <v>566.3</v>
      </c>
      <c r="AC59" s="15">
        <f>VLOOKUP($A$59,'集計'!$A$4:$EP$61,110,FALSE)</f>
        <v>14</v>
      </c>
      <c r="AD59" s="16">
        <f>VLOOKUP($A$59,'集計'!$A$4:$EP$61,114,FALSE)</f>
        <v>265.6</v>
      </c>
      <c r="AE59" s="15">
        <f>VLOOKUP($A$59,'集計'!$A$4:$EP$61,118,FALSE)</f>
        <v>2</v>
      </c>
      <c r="AF59" s="16">
        <f>VLOOKUP($A$59,'集計'!$A$4:$EP$61,122,FALSE)</f>
        <v>24.4</v>
      </c>
      <c r="AG59" s="15">
        <f>VLOOKUP($A$59,'集計'!$A$4:$EP$61,126,FALSE)</f>
        <v>1</v>
      </c>
      <c r="AH59" s="16">
        <f>VLOOKUP($A$59,'集計'!$A$4:$EP$61,130,FALSE)</f>
        <v>15.3</v>
      </c>
      <c r="AI59" s="15">
        <f>VLOOKUP($A$59,'集計'!$A$4:$EP$61,134,FALSE)</f>
        <v>3</v>
      </c>
      <c r="AJ59" s="16">
        <f>VLOOKUP($A$59,'集計'!$A$4:$EP$61,138,FALSE)</f>
        <v>378.5</v>
      </c>
      <c r="AK59" s="15">
        <f>VLOOKUP($A$59,'集計'!$A$4:$EP$61,142,FALSE)</f>
        <v>422</v>
      </c>
      <c r="AL59" s="16">
        <f>VLOOKUP($A$59,'集計'!$A$4:$EP$61,146,FALSE)</f>
        <v>1513.44</v>
      </c>
    </row>
    <row r="60" spans="1:38" ht="13.5">
      <c r="A60" s="32" t="s">
        <v>22</v>
      </c>
      <c r="B60" s="15">
        <f>VLOOKUP($A$59,'集計'!$A$4:$EP$61,3,FALSE)</f>
        <v>237</v>
      </c>
      <c r="C60" s="16">
        <f>VLOOKUP($A$59,'集計'!$A$4:$EP$61,7,FALSE)</f>
        <v>67.15</v>
      </c>
      <c r="D60" s="15">
        <f>VLOOKUP($A$59,'集計'!$A$4:$EP$61,11,FALSE)</f>
        <v>32</v>
      </c>
      <c r="E60" s="16">
        <f>VLOOKUP($A$59,'集計'!$A$4:$EP$61,15,FALSE)</f>
        <v>57.3</v>
      </c>
      <c r="F60" s="15">
        <f>VLOOKUP($A$59,'集計'!$A$4:$EP$61,19,FALSE)</f>
        <v>2</v>
      </c>
      <c r="G60" s="16">
        <f>VLOOKUP($A$59,'集計'!$A$4:$EP$61,23,FALSE)</f>
        <v>11</v>
      </c>
      <c r="H60" s="15">
        <f>VLOOKUP($A$59,'集計'!$A$4:$EP$61,27,FALSE)</f>
        <v>3</v>
      </c>
      <c r="I60" s="16">
        <f>VLOOKUP($A$59,'集計'!$A$4:$EP$61,31,FALSE)</f>
        <v>76.2</v>
      </c>
      <c r="J60" s="15">
        <f>VLOOKUP($A$59,'集計'!$A$4:$EP$61,35,FALSE)</f>
        <v>5</v>
      </c>
      <c r="K60" s="16">
        <f>VLOOKUP($A$59,'集計'!$A$4:$EP$61,39,FALSE)</f>
        <v>90.6</v>
      </c>
      <c r="L60" s="15">
        <f>VLOOKUP($A$59,'集計'!$A$4:$EP$61,43,FALSE)</f>
        <v>0</v>
      </c>
      <c r="M60" s="16">
        <f>VLOOKUP($A$59,'集計'!$A$4:$EP$61,47,FALSE)</f>
        <v>0</v>
      </c>
      <c r="N60" s="15">
        <f>VLOOKUP($A$59,'集計'!$A$4:$EP$61,51,FALSE)</f>
        <v>0</v>
      </c>
      <c r="O60" s="16">
        <f>VLOOKUP($A$59,'集計'!$A$4:$EP$61,55,FALSE)</f>
        <v>0</v>
      </c>
      <c r="P60" s="15">
        <f>VLOOKUP($A$59,'集計'!$A$4:$EP$61,59,FALSE)</f>
        <v>1</v>
      </c>
      <c r="Q60" s="16">
        <f>VLOOKUP($A$59,'集計'!$A$4:$EP$61,63,FALSE)</f>
        <v>74.8</v>
      </c>
      <c r="R60" s="15">
        <f>VLOOKUP($A$59,'集計'!$A$4:$EP$61,67,FALSE)</f>
        <v>280</v>
      </c>
      <c r="S60" s="16">
        <f>VLOOKUP($A$59,'集計'!$A$4:$EP$61,71,FALSE)</f>
        <v>377.05</v>
      </c>
      <c r="T60" s="32" t="s">
        <v>22</v>
      </c>
      <c r="U60" s="15">
        <f>VLOOKUP($A$59,'集計'!$A$4:$EP$61,75,FALSE)</f>
        <v>235</v>
      </c>
      <c r="V60" s="16">
        <f>VLOOKUP($A$59,'集計'!$A$4:$EP$61,79,FALSE)</f>
        <v>65.41</v>
      </c>
      <c r="W60" s="15">
        <f>VLOOKUP($A$59,'集計'!$A$4:$EP$61,83,FALSE)</f>
        <v>32</v>
      </c>
      <c r="X60" s="16">
        <f>VLOOKUP($A$59,'集計'!$A$4:$EP$61,87,FALSE)</f>
        <v>55.4</v>
      </c>
      <c r="Y60" s="15">
        <f>VLOOKUP($A$59,'集計'!$A$4:$EP$61,91,FALSE)</f>
        <v>2</v>
      </c>
      <c r="Z60" s="16">
        <f>VLOOKUP($A$59,'集計'!$A$4:$EP$61,95,FALSE)</f>
        <v>11</v>
      </c>
      <c r="AA60" s="15">
        <f>VLOOKUP($A$59,'集計'!$A$4:$EP$61,99,FALSE)</f>
        <v>3</v>
      </c>
      <c r="AB60" s="16">
        <f>VLOOKUP($A$59,'集計'!$A$4:$EP$61,103,FALSE)</f>
        <v>76.5</v>
      </c>
      <c r="AC60" s="15">
        <f>VLOOKUP($A$59,'集計'!$A$4:$EP$61,107,FALSE)</f>
        <v>5</v>
      </c>
      <c r="AD60" s="16">
        <f>VLOOKUP($A$59,'集計'!$A$4:$EP$61,111,FALSE)</f>
        <v>88.8</v>
      </c>
      <c r="AE60" s="15">
        <f>VLOOKUP($A$59,'集計'!$A$4:$EP$61,115,FALSE)</f>
        <v>0</v>
      </c>
      <c r="AF60" s="16">
        <f>VLOOKUP($A$59,'集計'!$A$4:$EP$61,119,FALSE)</f>
        <v>0</v>
      </c>
      <c r="AG60" s="15">
        <f>VLOOKUP($A$59,'集計'!$A$4:$EP$61,123,FALSE)</f>
        <v>0</v>
      </c>
      <c r="AH60" s="16">
        <f>VLOOKUP($A$59,'集計'!$A$4:$EP$61,127,FALSE)</f>
        <v>0</v>
      </c>
      <c r="AI60" s="15">
        <f>VLOOKUP($A$59,'集計'!$A$4:$EP$61,131,FALSE)</f>
        <v>1</v>
      </c>
      <c r="AJ60" s="16">
        <f>VLOOKUP($A$59,'集計'!$A$4:$EP$61,135,FALSE)</f>
        <v>66</v>
      </c>
      <c r="AK60" s="15">
        <f>VLOOKUP($A$59,'集計'!$A$4:$EP$61,139,FALSE)</f>
        <v>278</v>
      </c>
      <c r="AL60" s="16">
        <f>VLOOKUP($A$59,'集計'!$A$4:$EP$61,143,FALSE)</f>
        <v>363.11</v>
      </c>
    </row>
    <row r="61" spans="1:38" ht="13.5">
      <c r="A61" s="32" t="s">
        <v>23</v>
      </c>
      <c r="B61" s="15">
        <f>VLOOKUP($A$59,'集計'!$A$4:$EP$61,4,FALSE)</f>
        <v>80</v>
      </c>
      <c r="C61" s="16">
        <f>VLOOKUP($A$59,'集計'!$A$4:$EP$61,8,FALSE)</f>
        <v>21.16</v>
      </c>
      <c r="D61" s="15">
        <f>VLOOKUP($A$59,'集計'!$A$4:$EP$61,(12),FALSE)</f>
        <v>18</v>
      </c>
      <c r="E61" s="16">
        <f>VLOOKUP($A$59,'集計'!$A$4:$EP$61,16,FALSE)</f>
        <v>30.4</v>
      </c>
      <c r="F61" s="15">
        <f>VLOOKUP($A$59,'集計'!$A$4:$EP$61,20,FALSE)</f>
        <v>7</v>
      </c>
      <c r="G61" s="16">
        <f>VLOOKUP($A$59,'集計'!$A$4:$EP$61,24,FALSE)</f>
        <v>56.1</v>
      </c>
      <c r="H61" s="15">
        <f>VLOOKUP($A$59,'集計'!$A$4:$EP$61,28,FALSE)</f>
        <v>2</v>
      </c>
      <c r="I61" s="16">
        <f>VLOOKUP($A$59,'集計'!$A$4:$EP$61,32,FALSE)</f>
        <v>57.9</v>
      </c>
      <c r="J61" s="15">
        <f>VLOOKUP($A$59,'集計'!$A$4:$EP$61,36,FALSE)</f>
        <v>1</v>
      </c>
      <c r="K61" s="16">
        <f>VLOOKUP($A$59,'集計'!$A$4:$EP$61,40,FALSE)</f>
        <v>9.8</v>
      </c>
      <c r="L61" s="15">
        <f>VLOOKUP($A$59,'集計'!$A$4:$EP$61,44,FALSE)</f>
        <v>1</v>
      </c>
      <c r="M61" s="16">
        <f>VLOOKUP($A$59,'集計'!$A$4:$EP$61,48,FALSE)</f>
        <v>6.4</v>
      </c>
      <c r="N61" s="15">
        <f>VLOOKUP($A$59,'集計'!$A$4:$EP$61,52,FALSE)</f>
        <v>0</v>
      </c>
      <c r="O61" s="16">
        <f>VLOOKUP($A$59,'集計'!$A$4:$EP$61,56,FALSE)</f>
        <v>0</v>
      </c>
      <c r="P61" s="15">
        <f>VLOOKUP($A$59,'集計'!$A$4:$EP$61,60,FALSE)</f>
        <v>1</v>
      </c>
      <c r="Q61" s="16">
        <f>VLOOKUP($A$59,'集計'!$A$4:$EP$61,64,FALSE)</f>
        <v>289.2</v>
      </c>
      <c r="R61" s="15">
        <f>VLOOKUP($A$59,'集計'!$A$4:$EP$61,68,FALSE)</f>
        <v>110</v>
      </c>
      <c r="S61" s="16">
        <f>VLOOKUP($A$59,'集計'!$A$4:$EP$61,72,FALSE)</f>
        <v>470.96</v>
      </c>
      <c r="T61" s="32" t="s">
        <v>23</v>
      </c>
      <c r="U61" s="15">
        <f>VLOOKUP($A$59,'集計'!$A$4:$EP$61,76,FALSE)</f>
        <v>68</v>
      </c>
      <c r="V61" s="16">
        <f>VLOOKUP($A$59,'集計'!$A$4:$EP$61,80,FALSE)</f>
        <v>18</v>
      </c>
      <c r="W61" s="15">
        <f>VLOOKUP($A$59,'集計'!$A$4:$EP$61,84,FALSE)</f>
        <v>17</v>
      </c>
      <c r="X61" s="16">
        <f>VLOOKUP($A$59,'集計'!$A$4:$EP$61,88,FALSE)</f>
        <v>24.7</v>
      </c>
      <c r="Y61" s="15">
        <f>VLOOKUP($A$59,'集計'!$A$4:$EP$61,92,FALSE)</f>
        <v>7</v>
      </c>
      <c r="Z61" s="16">
        <f>VLOOKUP($A$59,'集計'!$A$4:$EP$61,96,FALSE)</f>
        <v>37</v>
      </c>
      <c r="AA61" s="15">
        <f>VLOOKUP($A$59,'集計'!$A$4:$EP$61,100,FALSE)</f>
        <v>2</v>
      </c>
      <c r="AB61" s="16">
        <f>VLOOKUP($A$59,'集計'!$A$4:$EP$61,104,FALSE)</f>
        <v>56.3</v>
      </c>
      <c r="AC61" s="15">
        <f>VLOOKUP($A$59,'集計'!$A$4:$EP$61,108,FALSE)</f>
        <v>1</v>
      </c>
      <c r="AD61" s="16">
        <f>VLOOKUP($A$59,'集計'!$A$4:$EP$61,112,FALSE)</f>
        <v>7</v>
      </c>
      <c r="AE61" s="15">
        <f>VLOOKUP($A$59,'集計'!$A$4:$EP$61,116,FALSE)</f>
        <v>1</v>
      </c>
      <c r="AF61" s="16">
        <f>VLOOKUP($A$59,'集計'!$A$4:$EP$61,120,FALSE)</f>
        <v>6.4</v>
      </c>
      <c r="AG61" s="15">
        <f>VLOOKUP($A$59,'集計'!$A$4:$EP$61,124,FALSE)</f>
        <v>0</v>
      </c>
      <c r="AH61" s="16">
        <f>VLOOKUP($A$59,'集計'!$A$4:$EP$61,128,FALSE)</f>
        <v>0</v>
      </c>
      <c r="AI61" s="15">
        <f>VLOOKUP($A$59,'集計'!$A$4:$EP$61,132,FALSE)</f>
        <v>1</v>
      </c>
      <c r="AJ61" s="16">
        <f>VLOOKUP($A$59,'集計'!$A$4:$EP$61,136,FALSE)</f>
        <v>249.9</v>
      </c>
      <c r="AK61" s="15">
        <f>VLOOKUP($A$59,'集計'!$A$4:$EP$61,140,FALSE)</f>
        <v>97</v>
      </c>
      <c r="AL61" s="16">
        <f>VLOOKUP($A$59,'集計'!$A$4:$EP$61,144,FALSE)</f>
        <v>399.3</v>
      </c>
    </row>
    <row r="62" spans="1:38" ht="13.5">
      <c r="A62" s="32" t="s">
        <v>24</v>
      </c>
      <c r="B62" s="15">
        <f>VLOOKUP($A$59,'集計'!$A$4:$EP$61,5,FALSE)</f>
        <v>12</v>
      </c>
      <c r="C62" s="16">
        <f>VLOOKUP($A$59,'集計'!$A$4:$EP$61,9,FALSE)</f>
        <v>4.39</v>
      </c>
      <c r="D62" s="15">
        <f>VLOOKUP($A$59,'集計'!$A$4:$EP$61,13,FALSE)</f>
        <v>3</v>
      </c>
      <c r="E62" s="16">
        <f>VLOOKUP($A$59,'集計'!$A$4:$EP$61,17,FALSE)</f>
        <v>6.3</v>
      </c>
      <c r="F62" s="15">
        <f>VLOOKUP($A$59,'集計'!$A$4:$EP$61,21,FALSE)</f>
        <v>8</v>
      </c>
      <c r="G62" s="16">
        <f>VLOOKUP($A$59,'集計'!$A$4:$EP$61,25,FALSE)</f>
        <v>38.8</v>
      </c>
      <c r="H62" s="15">
        <f>VLOOKUP($A$59,'集計'!$A$4:$EP$61,29,FALSE)</f>
        <v>11</v>
      </c>
      <c r="I62" s="16">
        <f>VLOOKUP($A$59,'集計'!$A$4:$EP$61,33,FALSE)</f>
        <v>453.9</v>
      </c>
      <c r="J62" s="15">
        <f>VLOOKUP($A$59,'集計'!$A$4:$EP$61,37,FALSE)</f>
        <v>8</v>
      </c>
      <c r="K62" s="16">
        <f>VLOOKUP($A$59,'集計'!$A$4:$EP$61,41,FALSE)</f>
        <v>328.5</v>
      </c>
      <c r="L62" s="15">
        <f>VLOOKUP($A$59,'集計'!$A$4:$EP$61,45,FALSE)</f>
        <v>1</v>
      </c>
      <c r="M62" s="16">
        <f>VLOOKUP($A$59,'集計'!$A$4:$EP$61,49,FALSE)</f>
        <v>18</v>
      </c>
      <c r="N62" s="15">
        <f>VLOOKUP($A$59,'集計'!$A$4:$EP$61,53,FALSE)</f>
        <v>1</v>
      </c>
      <c r="O62" s="16">
        <f>VLOOKUP($A$59,'集計'!$A$4:$EP$61,57,FALSE)</f>
        <v>19.7</v>
      </c>
      <c r="P62" s="15">
        <f>VLOOKUP($A$59,'集計'!$A$4:$EP$61,61,FALSE)</f>
        <v>1</v>
      </c>
      <c r="Q62" s="16">
        <f>VLOOKUP($A$59,'集計'!$A$4:$EP$61,65,FALSE)</f>
        <v>86</v>
      </c>
      <c r="R62" s="15">
        <f>VLOOKUP($A$59,'集計'!$A$4:$EP$61,69,FALSE)</f>
        <v>45</v>
      </c>
      <c r="S62" s="16">
        <f>VLOOKUP($A$59,'集計'!$A$4:$EP$61,73,FALSE)</f>
        <v>955.59</v>
      </c>
      <c r="T62" s="32" t="s">
        <v>24</v>
      </c>
      <c r="U62" s="15">
        <f>VLOOKUP($A$59,'集計'!$A$4:$EP$61,77,FALSE)</f>
        <v>13</v>
      </c>
      <c r="V62" s="16">
        <f>VLOOKUP($A$59,'集計'!$A$4:$EP$61,81,FALSE)</f>
        <v>4.53</v>
      </c>
      <c r="W62" s="15">
        <f>VLOOKUP($A$59,'集計'!$A$4:$EP$61,85,FALSE)</f>
        <v>3</v>
      </c>
      <c r="X62" s="16">
        <f>VLOOKUP($A$59,'集計'!$A$4:$EP$61,89,FALSE)</f>
        <v>6.3</v>
      </c>
      <c r="Y62" s="15">
        <f>VLOOKUP($A$59,'集計'!$A$4:$EP$61,93,FALSE)</f>
        <v>8</v>
      </c>
      <c r="Z62" s="16">
        <f>VLOOKUP($A$59,'集計'!$A$4:$EP$61,97,FALSE)</f>
        <v>41</v>
      </c>
      <c r="AA62" s="15">
        <f>VLOOKUP($A$59,'集計'!$A$4:$EP$61,101,FALSE)</f>
        <v>12</v>
      </c>
      <c r="AB62" s="16">
        <f>VLOOKUP($A$59,'集計'!$A$4:$EP$61,105,FALSE)</f>
        <v>433.5</v>
      </c>
      <c r="AC62" s="15">
        <f>VLOOKUP($A$59,'集計'!$A$4:$EP$61,109,FALSE)</f>
        <v>8</v>
      </c>
      <c r="AD62" s="16">
        <f>VLOOKUP($A$59,'集計'!$A$4:$EP$61,113,FALSE)</f>
        <v>169.8</v>
      </c>
      <c r="AE62" s="15">
        <f>VLOOKUP($A$59,'集計'!$A$4:$EP$61,117,FALSE)</f>
        <v>1</v>
      </c>
      <c r="AF62" s="16">
        <f>VLOOKUP($A$59,'集計'!$A$4:$EP$61,121,FALSE)</f>
        <v>18</v>
      </c>
      <c r="AG62" s="15">
        <f>VLOOKUP($A$59,'集計'!$A$4:$EP$61,125,FALSE)</f>
        <v>1</v>
      </c>
      <c r="AH62" s="16">
        <f>VLOOKUP($A$59,'集計'!$A$4:$EP$61,129,FALSE)</f>
        <v>15.3</v>
      </c>
      <c r="AI62" s="15">
        <f>VLOOKUP($A$59,'集計'!$A$4:$EP$61,133,FALSE)</f>
        <v>1</v>
      </c>
      <c r="AJ62" s="16">
        <f>VLOOKUP($A$59,'集計'!$A$4:$EP$61,137,FALSE)</f>
        <v>62.6</v>
      </c>
      <c r="AK62" s="15">
        <f>VLOOKUP($A$59,'集計'!$A$4:$EP$61,141,FALSE)</f>
        <v>47</v>
      </c>
      <c r="AL62" s="16">
        <f>VLOOKUP($A$59,'集計'!$A$4:$EP$61,145,FALSE)</f>
        <v>751.03</v>
      </c>
    </row>
    <row r="63" spans="1:38" ht="13.5">
      <c r="A63" s="32" t="s">
        <v>27</v>
      </c>
      <c r="B63" s="15">
        <f>VLOOKUP($A$63,'集計'!$A$4:$EP$61,6,FALSE)</f>
        <v>339</v>
      </c>
      <c r="C63" s="16">
        <f>VLOOKUP($A$63,'集計'!$A$4:$EP$61,10,FALSE)</f>
        <v>84.27</v>
      </c>
      <c r="D63" s="15">
        <f>VLOOKUP($A$63,'集計'!$A$4:$EP$61,14,FALSE)</f>
        <v>46</v>
      </c>
      <c r="E63" s="16">
        <f>VLOOKUP($A$63,'集計'!$A$4:$EP$61,18,FALSE)</f>
        <v>84.65</v>
      </c>
      <c r="F63" s="15">
        <f>VLOOKUP($A$63,'集計'!$A$4:$EP$61,22,FALSE)</f>
        <v>12</v>
      </c>
      <c r="G63" s="16">
        <f>VLOOKUP($A$63,'集計'!$A$4:$EP$61,26,FALSE)</f>
        <v>89.9</v>
      </c>
      <c r="H63" s="15">
        <f>VLOOKUP($A$63,'集計'!$A$4:$EP$61,30,FALSE)</f>
        <v>20</v>
      </c>
      <c r="I63" s="16">
        <f>VLOOKUP($A$63,'集計'!$A$4:$EP$61,34,FALSE)</f>
        <v>519</v>
      </c>
      <c r="J63" s="15">
        <f>VLOOKUP($A$63,'集計'!$A$4:$EP$61,38,FALSE)</f>
        <v>11</v>
      </c>
      <c r="K63" s="16">
        <f>VLOOKUP($A$63,'集計'!$A$4:$EP$61,42,FALSE)</f>
        <v>204.4</v>
      </c>
      <c r="L63" s="15">
        <f>VLOOKUP($A$63,'集計'!$A$4:$EP$61,46,FALSE)</f>
        <v>6</v>
      </c>
      <c r="M63" s="16">
        <f>VLOOKUP($A$63,'集計'!$A$4:$EP$61,50,FALSE)</f>
        <v>235.9</v>
      </c>
      <c r="N63" s="15">
        <f>VLOOKUP($A$63,'集計'!$A$4:$EP$61,54,FALSE)</f>
        <v>0</v>
      </c>
      <c r="O63" s="16">
        <f>VLOOKUP($A$63,'集計'!$A$4:$EP$61,58,FALSE)</f>
        <v>0</v>
      </c>
      <c r="P63" s="15">
        <f>VLOOKUP($A$63,'集計'!$A$4:$EP$61,62,FALSE)</f>
        <v>3</v>
      </c>
      <c r="Q63" s="16">
        <f>VLOOKUP($A$63,'集計'!$A$4:$EP$61,66,FALSE)</f>
        <v>527.4</v>
      </c>
      <c r="R63" s="15">
        <f>VLOOKUP($A$63,'集計'!$A$4:$EP$61,70,FALSE)</f>
        <v>437</v>
      </c>
      <c r="S63" s="16">
        <f>VLOOKUP($A$63,'集計'!$A$4:$EP$61,74,FALSE)</f>
        <v>1745.52</v>
      </c>
      <c r="T63" s="32" t="s">
        <v>27</v>
      </c>
      <c r="U63" s="15">
        <f>VLOOKUP($A$63,'集計'!$A$4:$EP$61,78,FALSE)</f>
        <v>322</v>
      </c>
      <c r="V63" s="16">
        <f>VLOOKUP($A$63,'集計'!$A$4:$EP$61,82,FALSE)</f>
        <v>80.56</v>
      </c>
      <c r="W63" s="15">
        <f>VLOOKUP($A$63,'集計'!$A$4:$EP$61,86,FALSE)</f>
        <v>45</v>
      </c>
      <c r="X63" s="16">
        <f>VLOOKUP($A$63,'集計'!$A$4:$EP$61,90,FALSE)</f>
        <v>80.91</v>
      </c>
      <c r="Y63" s="15">
        <f>VLOOKUP($A$63,'集計'!$A$4:$EP$61,94,FALSE)</f>
        <v>11</v>
      </c>
      <c r="Z63" s="16">
        <f>VLOOKUP($A$63,'集計'!$A$4:$EP$61,98,FALSE)</f>
        <v>78.5</v>
      </c>
      <c r="AA63" s="15">
        <f>VLOOKUP($A$63,'集計'!$A$4:$EP$61,102,FALSE)</f>
        <v>18</v>
      </c>
      <c r="AB63" s="16">
        <f>VLOOKUP($A$63,'集計'!$A$4:$EP$61,106,FALSE)</f>
        <v>359.49</v>
      </c>
      <c r="AC63" s="15">
        <f>VLOOKUP($A$63,'集計'!$A$4:$EP$61,110,FALSE)</f>
        <v>10</v>
      </c>
      <c r="AD63" s="16">
        <f>VLOOKUP($A$63,'集計'!$A$4:$EP$61,114,FALSE)</f>
        <v>184.4</v>
      </c>
      <c r="AE63" s="15">
        <f>VLOOKUP($A$63,'集計'!$A$4:$EP$61,118,FALSE)</f>
        <v>5</v>
      </c>
      <c r="AF63" s="16">
        <f>VLOOKUP($A$63,'集計'!$A$4:$EP$61,122,FALSE)</f>
        <v>83.98</v>
      </c>
      <c r="AG63" s="15">
        <f>VLOOKUP($A$63,'集計'!$A$4:$EP$61,126,FALSE)</f>
        <v>0</v>
      </c>
      <c r="AH63" s="16">
        <f>VLOOKUP($A$63,'集計'!$A$4:$EP$61,130,FALSE)</f>
        <v>0</v>
      </c>
      <c r="AI63" s="15">
        <f>VLOOKUP($A$63,'集計'!$A$4:$EP$61,134,FALSE)</f>
        <v>3</v>
      </c>
      <c r="AJ63" s="16">
        <f>VLOOKUP($A$63,'集計'!$A$4:$EP$61,138,FALSE)</f>
        <v>185.8</v>
      </c>
      <c r="AK63" s="15">
        <f>VLOOKUP($A$63,'集計'!$A$4:$EP$61,142,FALSE)</f>
        <v>414</v>
      </c>
      <c r="AL63" s="16">
        <f>VLOOKUP($A$63,'集計'!$A$4:$EP$61,146,FALSE)</f>
        <v>1053.64</v>
      </c>
    </row>
    <row r="64" spans="1:38" ht="13.5">
      <c r="A64" s="32" t="s">
        <v>22</v>
      </c>
      <c r="B64" s="15">
        <f>VLOOKUP($A$63,'集計'!$A$4:$EP$61,3,FALSE)</f>
        <v>160</v>
      </c>
      <c r="C64" s="16">
        <f>VLOOKUP($A$63,'集計'!$A$4:$EP$61,7,FALSE)</f>
        <v>40.26</v>
      </c>
      <c r="D64" s="15">
        <f>VLOOKUP($A$63,'集計'!$A$4:$EP$61,11,FALSE)</f>
        <v>15</v>
      </c>
      <c r="E64" s="16">
        <f>VLOOKUP($A$63,'集計'!$A$4:$EP$61,15,FALSE)</f>
        <v>26.4</v>
      </c>
      <c r="F64" s="15">
        <f>VLOOKUP($A$63,'集計'!$A$4:$EP$61,19,FALSE)</f>
        <v>4</v>
      </c>
      <c r="G64" s="16">
        <f>VLOOKUP($A$63,'集計'!$A$4:$EP$61,23,FALSE)</f>
        <v>17.6</v>
      </c>
      <c r="H64" s="15">
        <f>VLOOKUP($A$63,'集計'!$A$4:$EP$61,27,FALSE)</f>
        <v>2</v>
      </c>
      <c r="I64" s="16">
        <f>VLOOKUP($A$63,'集計'!$A$4:$EP$61,31,FALSE)</f>
        <v>21</v>
      </c>
      <c r="J64" s="15">
        <f>VLOOKUP($A$63,'集計'!$A$4:$EP$61,35,FALSE)</f>
        <v>1</v>
      </c>
      <c r="K64" s="16">
        <f>VLOOKUP($A$63,'集計'!$A$4:$EP$61,39,FALSE)</f>
        <v>23.2</v>
      </c>
      <c r="L64" s="15">
        <f>VLOOKUP($A$63,'集計'!$A$4:$EP$61,43,FALSE)</f>
        <v>0</v>
      </c>
      <c r="M64" s="16">
        <f>VLOOKUP($A$63,'集計'!$A$4:$EP$61,47,FALSE)</f>
        <v>0</v>
      </c>
      <c r="N64" s="15">
        <f>VLOOKUP($A$63,'集計'!$A$4:$EP$61,51,FALSE)</f>
        <v>0</v>
      </c>
      <c r="O64" s="16">
        <f>VLOOKUP($A$63,'集計'!$A$4:$EP$61,55,FALSE)</f>
        <v>0</v>
      </c>
      <c r="P64" s="15">
        <f>VLOOKUP($A$63,'集計'!$A$4:$EP$61,59,FALSE)</f>
        <v>0</v>
      </c>
      <c r="Q64" s="16">
        <f>VLOOKUP($A$63,'集計'!$A$4:$EP$61,63,FALSE)</f>
        <v>0</v>
      </c>
      <c r="R64" s="15">
        <f>VLOOKUP($A$63,'集計'!$A$4:$EP$61,67,FALSE)</f>
        <v>182</v>
      </c>
      <c r="S64" s="16">
        <f>VLOOKUP($A$63,'集計'!$A$4:$EP$61,71,FALSE)</f>
        <v>128.46</v>
      </c>
      <c r="T64" s="32" t="s">
        <v>22</v>
      </c>
      <c r="U64" s="15">
        <f>VLOOKUP($A$63,'集計'!$A$4:$EP$61,75,FALSE)</f>
        <v>160</v>
      </c>
      <c r="V64" s="16">
        <f>VLOOKUP($A$63,'集計'!$A$4:$EP$61,79,FALSE)</f>
        <v>39.46</v>
      </c>
      <c r="W64" s="15">
        <f>VLOOKUP($A$63,'集計'!$A$4:$EP$61,83,FALSE)</f>
        <v>15</v>
      </c>
      <c r="X64" s="16">
        <f>VLOOKUP($A$63,'集計'!$A$4:$EP$61,87,FALSE)</f>
        <v>26.1</v>
      </c>
      <c r="Y64" s="15">
        <f>VLOOKUP($A$63,'集計'!$A$4:$EP$61,91,FALSE)</f>
        <v>4</v>
      </c>
      <c r="Z64" s="16">
        <f>VLOOKUP($A$63,'集計'!$A$4:$EP$61,95,FALSE)</f>
        <v>17.8</v>
      </c>
      <c r="AA64" s="15">
        <f>VLOOKUP($A$63,'集計'!$A$4:$EP$61,99,FALSE)</f>
        <v>2</v>
      </c>
      <c r="AB64" s="16">
        <f>VLOOKUP($A$63,'集計'!$A$4:$EP$61,103,FALSE)</f>
        <v>20.3</v>
      </c>
      <c r="AC64" s="15">
        <f>VLOOKUP($A$63,'集計'!$A$4:$EP$61,107,FALSE)</f>
        <v>1</v>
      </c>
      <c r="AD64" s="16">
        <f>VLOOKUP($A$63,'集計'!$A$4:$EP$61,111,FALSE)</f>
        <v>25.4</v>
      </c>
      <c r="AE64" s="15">
        <f>VLOOKUP($A$63,'集計'!$A$4:$EP$61,115,FALSE)</f>
        <v>0</v>
      </c>
      <c r="AF64" s="16">
        <f>VLOOKUP($A$63,'集計'!$A$4:$EP$61,119,FALSE)</f>
        <v>0</v>
      </c>
      <c r="AG64" s="15">
        <f>VLOOKUP($A$63,'集計'!$A$4:$EP$61,123,FALSE)</f>
        <v>0</v>
      </c>
      <c r="AH64" s="16">
        <f>VLOOKUP($A$63,'集計'!$A$4:$EP$61,127,FALSE)</f>
        <v>0</v>
      </c>
      <c r="AI64" s="15">
        <f>VLOOKUP($A$63,'集計'!$A$4:$EP$61,131,FALSE)</f>
        <v>0</v>
      </c>
      <c r="AJ64" s="16">
        <f>VLOOKUP($A$63,'集計'!$A$4:$EP$61,135,FALSE)</f>
        <v>0</v>
      </c>
      <c r="AK64" s="15">
        <f>VLOOKUP($A$63,'集計'!$A$4:$EP$61,139,FALSE)</f>
        <v>182</v>
      </c>
      <c r="AL64" s="16">
        <f>VLOOKUP($A$63,'集計'!$A$4:$EP$61,143,FALSE)</f>
        <v>129.06</v>
      </c>
    </row>
    <row r="65" spans="1:38" ht="13.5">
      <c r="A65" s="32" t="s">
        <v>23</v>
      </c>
      <c r="B65" s="15">
        <f>VLOOKUP($A$63,'集計'!$A$4:$EP$61,4,FALSE)</f>
        <v>168</v>
      </c>
      <c r="C65" s="16">
        <f>VLOOKUP($A$63,'集計'!$A$4:$EP$61,8,FALSE)</f>
        <v>40.84</v>
      </c>
      <c r="D65" s="15">
        <f>VLOOKUP($A$63,'集計'!$A$4:$EP$61,(12),FALSE)</f>
        <v>26</v>
      </c>
      <c r="E65" s="16">
        <f>VLOOKUP($A$63,'集計'!$A$4:$EP$61,16,FALSE)</f>
        <v>49.85</v>
      </c>
      <c r="F65" s="15">
        <f>VLOOKUP($A$63,'集計'!$A$4:$EP$61,20,FALSE)</f>
        <v>3</v>
      </c>
      <c r="G65" s="16">
        <f>VLOOKUP($A$63,'集計'!$A$4:$EP$61,24,FALSE)</f>
        <v>16.8</v>
      </c>
      <c r="H65" s="15">
        <f>VLOOKUP($A$63,'集計'!$A$4:$EP$61,28,FALSE)</f>
        <v>3</v>
      </c>
      <c r="I65" s="16">
        <f>VLOOKUP($A$63,'集計'!$A$4:$EP$61,32,FALSE)</f>
        <v>54.7</v>
      </c>
      <c r="J65" s="15">
        <f>VLOOKUP($A$63,'集計'!$A$4:$EP$61,36,FALSE)</f>
        <v>2</v>
      </c>
      <c r="K65" s="16">
        <f>VLOOKUP($A$63,'集計'!$A$4:$EP$61,40,FALSE)</f>
        <v>20</v>
      </c>
      <c r="L65" s="15">
        <f>VLOOKUP($A$63,'集計'!$A$4:$EP$61,44,FALSE)</f>
        <v>0</v>
      </c>
      <c r="M65" s="16">
        <f>VLOOKUP($A$63,'集計'!$A$4:$EP$61,48,FALSE)</f>
        <v>0</v>
      </c>
      <c r="N65" s="15">
        <f>VLOOKUP($A$63,'集計'!$A$4:$EP$61,52,FALSE)</f>
        <v>0</v>
      </c>
      <c r="O65" s="16">
        <f>VLOOKUP($A$63,'集計'!$A$4:$EP$61,56,FALSE)</f>
        <v>0</v>
      </c>
      <c r="P65" s="15">
        <f>VLOOKUP($A$63,'集計'!$A$4:$EP$61,60,FALSE)</f>
        <v>0</v>
      </c>
      <c r="Q65" s="16">
        <f>VLOOKUP($A$63,'集計'!$A$4:$EP$61,64,FALSE)</f>
        <v>0</v>
      </c>
      <c r="R65" s="15">
        <f>VLOOKUP($A$63,'集計'!$A$4:$EP$61,68,FALSE)</f>
        <v>202</v>
      </c>
      <c r="S65" s="16">
        <f>VLOOKUP($A$63,'集計'!$A$4:$EP$61,72,FALSE)</f>
        <v>182.19</v>
      </c>
      <c r="T65" s="32" t="s">
        <v>23</v>
      </c>
      <c r="U65" s="15">
        <f>VLOOKUP($A$63,'集計'!$A$4:$EP$61,76,FALSE)</f>
        <v>151</v>
      </c>
      <c r="V65" s="16">
        <f>VLOOKUP($A$63,'集計'!$A$4:$EP$61,80,FALSE)</f>
        <v>37.55</v>
      </c>
      <c r="W65" s="15">
        <f>VLOOKUP($A$63,'集計'!$A$4:$EP$61,84,FALSE)</f>
        <v>25</v>
      </c>
      <c r="X65" s="16">
        <f>VLOOKUP($A$63,'集計'!$A$4:$EP$61,88,FALSE)</f>
        <v>46.37</v>
      </c>
      <c r="Y65" s="15">
        <f>VLOOKUP($A$63,'集計'!$A$4:$EP$61,92,FALSE)</f>
        <v>2</v>
      </c>
      <c r="Z65" s="16">
        <f>VLOOKUP($A$63,'集計'!$A$4:$EP$61,96,FALSE)</f>
        <v>5.4</v>
      </c>
      <c r="AA65" s="15">
        <f>VLOOKUP($A$63,'集計'!$A$4:$EP$61,100,FALSE)</f>
        <v>3</v>
      </c>
      <c r="AB65" s="16">
        <f>VLOOKUP($A$63,'集計'!$A$4:$EP$61,104,FALSE)</f>
        <v>99.1</v>
      </c>
      <c r="AC65" s="15">
        <f>VLOOKUP($A$63,'集計'!$A$4:$EP$61,108,FALSE)</f>
        <v>2</v>
      </c>
      <c r="AD65" s="16">
        <f>VLOOKUP($A$63,'集計'!$A$4:$EP$61,112,FALSE)</f>
        <v>20</v>
      </c>
      <c r="AE65" s="15">
        <f>VLOOKUP($A$63,'集計'!$A$4:$EP$61,116,FALSE)</f>
        <v>0</v>
      </c>
      <c r="AF65" s="16">
        <f>VLOOKUP($A$63,'集計'!$A$4:$EP$61,120,FALSE)</f>
        <v>0</v>
      </c>
      <c r="AG65" s="15">
        <f>VLOOKUP($A$63,'集計'!$A$4:$EP$61,124,FALSE)</f>
        <v>0</v>
      </c>
      <c r="AH65" s="16">
        <f>VLOOKUP($A$63,'集計'!$A$4:$EP$61,128,FALSE)</f>
        <v>0</v>
      </c>
      <c r="AI65" s="15">
        <f>VLOOKUP($A$63,'集計'!$A$4:$EP$61,132,FALSE)</f>
        <v>0</v>
      </c>
      <c r="AJ65" s="16">
        <f>VLOOKUP($A$63,'集計'!$A$4:$EP$61,136,FALSE)</f>
        <v>0</v>
      </c>
      <c r="AK65" s="15">
        <f>VLOOKUP($A$63,'集計'!$A$4:$EP$61,140,FALSE)</f>
        <v>183</v>
      </c>
      <c r="AL65" s="16">
        <f>VLOOKUP($A$63,'集計'!$A$4:$EP$61,144,FALSE)</f>
        <v>208.42</v>
      </c>
    </row>
    <row r="66" spans="1:38" ht="13.5">
      <c r="A66" s="32" t="s">
        <v>24</v>
      </c>
      <c r="B66" s="15">
        <f>VLOOKUP($A$63,'集計'!$A$4:$EP$61,5,FALSE)</f>
        <v>11</v>
      </c>
      <c r="C66" s="16">
        <f>VLOOKUP($A$63,'集計'!$A$4:$EP$61,9,FALSE)</f>
        <v>3.17</v>
      </c>
      <c r="D66" s="15">
        <f>VLOOKUP($A$63,'集計'!$A$4:$EP$61,13,FALSE)</f>
        <v>5</v>
      </c>
      <c r="E66" s="16">
        <f>VLOOKUP($A$63,'集計'!$A$4:$EP$61,17,FALSE)</f>
        <v>8.4</v>
      </c>
      <c r="F66" s="15">
        <f>VLOOKUP($A$63,'集計'!$A$4:$EP$61,21,FALSE)</f>
        <v>5</v>
      </c>
      <c r="G66" s="16">
        <f>VLOOKUP($A$63,'集計'!$A$4:$EP$61,25,FALSE)</f>
        <v>55.5</v>
      </c>
      <c r="H66" s="15">
        <f>VLOOKUP($A$63,'集計'!$A$4:$EP$61,29,FALSE)</f>
        <v>15</v>
      </c>
      <c r="I66" s="16">
        <f>VLOOKUP($A$63,'集計'!$A$4:$EP$61,33,FALSE)</f>
        <v>443.3</v>
      </c>
      <c r="J66" s="15">
        <f>VLOOKUP($A$63,'集計'!$A$4:$EP$61,37,FALSE)</f>
        <v>8</v>
      </c>
      <c r="K66" s="16">
        <f>VLOOKUP($A$63,'集計'!$A$4:$EP$61,41,FALSE)</f>
        <v>161.2</v>
      </c>
      <c r="L66" s="15">
        <f>VLOOKUP($A$63,'集計'!$A$4:$EP$61,45,FALSE)</f>
        <v>6</v>
      </c>
      <c r="M66" s="16">
        <f>VLOOKUP($A$63,'集計'!$A$4:$EP$61,49,FALSE)</f>
        <v>235.9</v>
      </c>
      <c r="N66" s="15">
        <f>VLOOKUP($A$63,'集計'!$A$4:$EP$61,53,FALSE)</f>
        <v>0</v>
      </c>
      <c r="O66" s="16">
        <f>VLOOKUP($A$63,'集計'!$A$4:$EP$61,57,FALSE)</f>
        <v>0</v>
      </c>
      <c r="P66" s="15">
        <f>VLOOKUP($A$63,'集計'!$A$4:$EP$61,61,FALSE)</f>
        <v>3</v>
      </c>
      <c r="Q66" s="16">
        <f>VLOOKUP($A$63,'集計'!$A$4:$EP$61,65,FALSE)</f>
        <v>527.4</v>
      </c>
      <c r="R66" s="15">
        <f>VLOOKUP($A$63,'集計'!$A$4:$EP$61,69,FALSE)</f>
        <v>53</v>
      </c>
      <c r="S66" s="16">
        <f>VLOOKUP($A$63,'集計'!$A$4:$EP$61,73,FALSE)</f>
        <v>1434.87</v>
      </c>
      <c r="T66" s="32" t="s">
        <v>24</v>
      </c>
      <c r="U66" s="15">
        <f>VLOOKUP($A$63,'集計'!$A$4:$EP$61,77,FALSE)</f>
        <v>11</v>
      </c>
      <c r="V66" s="16">
        <f>VLOOKUP($A$63,'集計'!$A$4:$EP$61,81,FALSE)</f>
        <v>3.55</v>
      </c>
      <c r="W66" s="15">
        <f>VLOOKUP($A$63,'集計'!$A$4:$EP$61,85,FALSE)</f>
        <v>5</v>
      </c>
      <c r="X66" s="16">
        <f>VLOOKUP($A$63,'集計'!$A$4:$EP$61,89,FALSE)</f>
        <v>8.44</v>
      </c>
      <c r="Y66" s="15">
        <f>VLOOKUP($A$63,'集計'!$A$4:$EP$61,93,FALSE)</f>
        <v>5</v>
      </c>
      <c r="Z66" s="16">
        <f>VLOOKUP($A$63,'集計'!$A$4:$EP$61,97,FALSE)</f>
        <v>55.3</v>
      </c>
      <c r="AA66" s="15">
        <f>VLOOKUP($A$63,'集計'!$A$4:$EP$61,101,FALSE)</f>
        <v>13</v>
      </c>
      <c r="AB66" s="16">
        <f>VLOOKUP($A$63,'集計'!$A$4:$EP$61,105,FALSE)</f>
        <v>240.09</v>
      </c>
      <c r="AC66" s="15">
        <f>VLOOKUP($A$63,'集計'!$A$4:$EP$61,109,FALSE)</f>
        <v>7</v>
      </c>
      <c r="AD66" s="16">
        <f>VLOOKUP($A$63,'集計'!$A$4:$EP$61,113,FALSE)</f>
        <v>139</v>
      </c>
      <c r="AE66" s="15">
        <f>VLOOKUP($A$63,'集計'!$A$4:$EP$61,117,FALSE)</f>
        <v>5</v>
      </c>
      <c r="AF66" s="16">
        <f>VLOOKUP($A$63,'集計'!$A$4:$EP$61,121,FALSE)</f>
        <v>83.98</v>
      </c>
      <c r="AG66" s="15">
        <f>VLOOKUP($A$63,'集計'!$A$4:$EP$61,125,FALSE)</f>
        <v>0</v>
      </c>
      <c r="AH66" s="16">
        <f>VLOOKUP($A$63,'集計'!$A$4:$EP$61,129,FALSE)</f>
        <v>0</v>
      </c>
      <c r="AI66" s="15">
        <f>VLOOKUP($A$63,'集計'!$A$4:$EP$61,133,FALSE)</f>
        <v>3</v>
      </c>
      <c r="AJ66" s="16">
        <f>VLOOKUP($A$63,'集計'!$A$4:$EP$61,137,FALSE)</f>
        <v>185.8</v>
      </c>
      <c r="AK66" s="15">
        <f>VLOOKUP($A$63,'集計'!$A$4:$EP$61,141,FALSE)</f>
        <v>49</v>
      </c>
      <c r="AL66" s="16">
        <f>VLOOKUP($A$63,'集計'!$A$4:$EP$61,145,FALSE)</f>
        <v>716.16</v>
      </c>
    </row>
    <row r="67" spans="1:38" ht="13.5">
      <c r="A67" s="32" t="s">
        <v>28</v>
      </c>
      <c r="B67" s="15">
        <f>VLOOKUP($A$67,'集計'!$A$4:$EP$61,6,FALSE)</f>
        <v>759</v>
      </c>
      <c r="C67" s="16">
        <f>VLOOKUP($A$67,'集計'!$A$4:$EP$61,10,FALSE)</f>
        <v>202.35</v>
      </c>
      <c r="D67" s="15">
        <f>VLOOKUP($A$67,'集計'!$A$4:$EP$61,14,FALSE)</f>
        <v>99</v>
      </c>
      <c r="E67" s="16">
        <f>VLOOKUP($A$67,'集計'!$A$4:$EP$61,18,FALSE)</f>
        <v>197.9</v>
      </c>
      <c r="F67" s="15">
        <f>VLOOKUP($A$67,'集計'!$A$4:$EP$61,22,FALSE)</f>
        <v>31</v>
      </c>
      <c r="G67" s="16">
        <f>VLOOKUP($A$67,'集計'!$A$4:$EP$61,26,FALSE)</f>
        <v>196.75</v>
      </c>
      <c r="H67" s="15">
        <f>VLOOKUP($A$67,'集計'!$A$4:$EP$61,30,FALSE)</f>
        <v>17</v>
      </c>
      <c r="I67" s="16">
        <f>VLOOKUP($A$67,'集計'!$A$4:$EP$61,34,FALSE)</f>
        <v>417.6</v>
      </c>
      <c r="J67" s="15">
        <f>VLOOKUP($A$67,'集計'!$A$4:$EP$61,38,FALSE)</f>
        <v>9</v>
      </c>
      <c r="K67" s="16">
        <f>VLOOKUP($A$67,'集計'!$A$4:$EP$61,42,FALSE)</f>
        <v>156.2</v>
      </c>
      <c r="L67" s="15">
        <f>VLOOKUP($A$67,'集計'!$A$4:$EP$61,46,FALSE)</f>
        <v>7</v>
      </c>
      <c r="M67" s="16">
        <f>VLOOKUP($A$67,'集計'!$A$4:$EP$61,50,FALSE)</f>
        <v>277.7</v>
      </c>
      <c r="N67" s="15">
        <f>VLOOKUP($A$67,'集計'!$A$4:$EP$61,54,FALSE)</f>
        <v>9</v>
      </c>
      <c r="O67" s="16">
        <f>VLOOKUP($A$67,'集計'!$A$4:$EP$61,58,FALSE)</f>
        <v>26.1</v>
      </c>
      <c r="P67" s="15">
        <f>VLOOKUP($A$67,'集計'!$A$4:$EP$61,62,FALSE)</f>
        <v>4</v>
      </c>
      <c r="Q67" s="16">
        <f>VLOOKUP($A$67,'集計'!$A$4:$EP$61,66,FALSE)</f>
        <v>1447</v>
      </c>
      <c r="R67" s="15">
        <f>VLOOKUP($A$67,'集計'!$A$4:$EP$61,70,FALSE)</f>
        <v>935</v>
      </c>
      <c r="S67" s="16">
        <f>VLOOKUP($A$67,'集計'!$A$4:$EP$61,74,FALSE)</f>
        <v>2921.6</v>
      </c>
      <c r="T67" s="32" t="s">
        <v>28</v>
      </c>
      <c r="U67" s="15">
        <f>VLOOKUP($A$67,'集計'!$A$4:$EP$61,78,FALSE)</f>
        <v>728</v>
      </c>
      <c r="V67" s="16">
        <f>VLOOKUP($A$67,'集計'!$A$4:$EP$61,82,FALSE)</f>
        <v>193.46</v>
      </c>
      <c r="W67" s="15">
        <f>VLOOKUP($A$67,'集計'!$A$4:$EP$61,86,FALSE)</f>
        <v>90</v>
      </c>
      <c r="X67" s="16">
        <f>VLOOKUP($A$67,'集計'!$A$4:$EP$61,90,FALSE)</f>
        <v>182.14</v>
      </c>
      <c r="Y67" s="15">
        <f>VLOOKUP($A$67,'集計'!$A$4:$EP$61,94,FALSE)</f>
        <v>30</v>
      </c>
      <c r="Z67" s="16">
        <f>VLOOKUP($A$67,'集計'!$A$4:$EP$61,98,FALSE)</f>
        <v>191.06</v>
      </c>
      <c r="AA67" s="15">
        <f>VLOOKUP($A$67,'集計'!$A$4:$EP$61,102,FALSE)</f>
        <v>16</v>
      </c>
      <c r="AB67" s="16">
        <f>VLOOKUP($A$67,'集計'!$A$4:$EP$61,106,FALSE)</f>
        <v>288.87</v>
      </c>
      <c r="AC67" s="15">
        <f>VLOOKUP($A$67,'集計'!$A$4:$EP$61,110,FALSE)</f>
        <v>9</v>
      </c>
      <c r="AD67" s="16">
        <f>VLOOKUP($A$67,'集計'!$A$4:$EP$61,114,FALSE)</f>
        <v>131.2</v>
      </c>
      <c r="AE67" s="15">
        <f>VLOOKUP($A$67,'集計'!$A$4:$EP$61,118,FALSE)</f>
        <v>7</v>
      </c>
      <c r="AF67" s="16">
        <f>VLOOKUP($A$67,'集計'!$A$4:$EP$61,122,FALSE)</f>
        <v>190.2</v>
      </c>
      <c r="AG67" s="15">
        <f>VLOOKUP($A$67,'集計'!$A$4:$EP$61,126,FALSE)</f>
        <v>9</v>
      </c>
      <c r="AH67" s="16">
        <f>VLOOKUP($A$67,'集計'!$A$4:$EP$61,130,FALSE)</f>
        <v>26.1</v>
      </c>
      <c r="AI67" s="15">
        <f>VLOOKUP($A$67,'集計'!$A$4:$EP$61,134,FALSE)</f>
        <v>4</v>
      </c>
      <c r="AJ67" s="16">
        <f>VLOOKUP($A$67,'集計'!$A$4:$EP$61,138,FALSE)</f>
        <v>524.9</v>
      </c>
      <c r="AK67" s="15">
        <f>VLOOKUP($A$67,'集計'!$A$4:$EP$61,142,FALSE)</f>
        <v>893</v>
      </c>
      <c r="AL67" s="16">
        <f>VLOOKUP($A$67,'集計'!$A$4:$EP$61,146,FALSE)</f>
        <v>1727.93</v>
      </c>
    </row>
    <row r="68" spans="1:38" ht="13.5">
      <c r="A68" s="32" t="s">
        <v>22</v>
      </c>
      <c r="B68" s="15">
        <f>VLOOKUP($A$67,'集計'!$A$4:$EP$61,3,FALSE)</f>
        <v>543</v>
      </c>
      <c r="C68" s="16">
        <f>VLOOKUP($A$67,'集計'!$A$4:$EP$61,7,FALSE)</f>
        <v>137.23</v>
      </c>
      <c r="D68" s="15">
        <f>VLOOKUP($A$67,'集計'!$A$4:$EP$61,11,FALSE)</f>
        <v>55</v>
      </c>
      <c r="E68" s="16">
        <f>VLOOKUP($A$67,'集計'!$A$4:$EP$61,15,FALSE)</f>
        <v>109.7</v>
      </c>
      <c r="F68" s="15">
        <f>VLOOKUP($A$67,'集計'!$A$4:$EP$61,19,FALSE)</f>
        <v>11</v>
      </c>
      <c r="G68" s="16">
        <f>VLOOKUP($A$67,'集計'!$A$4:$EP$61,23,FALSE)</f>
        <v>76.5</v>
      </c>
      <c r="H68" s="15">
        <f>VLOOKUP($A$67,'集計'!$A$4:$EP$61,27,FALSE)</f>
        <v>5</v>
      </c>
      <c r="I68" s="16">
        <f>VLOOKUP($A$67,'集計'!$A$4:$EP$61,31,FALSE)</f>
        <v>72.3</v>
      </c>
      <c r="J68" s="15">
        <f>VLOOKUP($A$67,'集計'!$A$4:$EP$61,35,FALSE)</f>
        <v>1</v>
      </c>
      <c r="K68" s="16">
        <f>VLOOKUP($A$67,'集計'!$A$4:$EP$61,39,FALSE)</f>
        <v>15.4</v>
      </c>
      <c r="L68" s="15">
        <f>VLOOKUP($A$67,'集計'!$A$4:$EP$61,43,FALSE)</f>
        <v>4</v>
      </c>
      <c r="M68" s="16">
        <f>VLOOKUP($A$67,'集計'!$A$4:$EP$61,47,FALSE)</f>
        <v>93.1</v>
      </c>
      <c r="N68" s="15">
        <f>VLOOKUP($A$67,'集計'!$A$4:$EP$61,51,FALSE)</f>
        <v>7</v>
      </c>
      <c r="O68" s="16">
        <f>VLOOKUP($A$67,'集計'!$A$4:$EP$61,55,FALSE)</f>
        <v>12.4</v>
      </c>
      <c r="P68" s="15">
        <f>VLOOKUP($A$67,'集計'!$A$4:$EP$61,59,FALSE)</f>
        <v>0</v>
      </c>
      <c r="Q68" s="16">
        <f>VLOOKUP($A$67,'集計'!$A$4:$EP$61,63,FALSE)</f>
        <v>0</v>
      </c>
      <c r="R68" s="15">
        <f>VLOOKUP($A$67,'集計'!$A$4:$EP$61,67,FALSE)</f>
        <v>626</v>
      </c>
      <c r="S68" s="16">
        <f>VLOOKUP($A$67,'集計'!$A$4:$EP$61,71,FALSE)</f>
        <v>516.63</v>
      </c>
      <c r="T68" s="32" t="s">
        <v>22</v>
      </c>
      <c r="U68" s="15">
        <f>VLOOKUP($A$67,'集計'!$A$4:$EP$61,75,FALSE)</f>
        <v>529</v>
      </c>
      <c r="V68" s="16">
        <f>VLOOKUP($A$67,'集計'!$A$4:$EP$61,79,FALSE)</f>
        <v>134.18</v>
      </c>
      <c r="W68" s="15">
        <f>VLOOKUP($A$67,'集計'!$A$4:$EP$61,83,FALSE)</f>
        <v>53</v>
      </c>
      <c r="X68" s="16">
        <f>VLOOKUP($A$67,'集計'!$A$4:$EP$61,87,FALSE)</f>
        <v>105.24</v>
      </c>
      <c r="Y68" s="15">
        <f>VLOOKUP($A$67,'集計'!$A$4:$EP$61,91,FALSE)</f>
        <v>11</v>
      </c>
      <c r="Z68" s="16">
        <f>VLOOKUP($A$67,'集計'!$A$4:$EP$61,95,FALSE)</f>
        <v>75.5</v>
      </c>
      <c r="AA68" s="15">
        <f>VLOOKUP($A$67,'集計'!$A$4:$EP$61,99,FALSE)</f>
        <v>5</v>
      </c>
      <c r="AB68" s="16">
        <f>VLOOKUP($A$67,'集計'!$A$4:$EP$61,103,FALSE)</f>
        <v>70.3</v>
      </c>
      <c r="AC68" s="15">
        <f>VLOOKUP($A$67,'集計'!$A$4:$EP$61,107,FALSE)</f>
        <v>1</v>
      </c>
      <c r="AD68" s="16">
        <f>VLOOKUP($A$67,'集計'!$A$4:$EP$61,111,FALSE)</f>
        <v>15.4</v>
      </c>
      <c r="AE68" s="15">
        <f>VLOOKUP($A$67,'集計'!$A$4:$EP$61,115,FALSE)</f>
        <v>4</v>
      </c>
      <c r="AF68" s="16">
        <f>VLOOKUP($A$67,'集計'!$A$4:$EP$61,119,FALSE)</f>
        <v>75.7</v>
      </c>
      <c r="AG68" s="15">
        <f>VLOOKUP($A$67,'集計'!$A$4:$EP$61,123,FALSE)</f>
        <v>7</v>
      </c>
      <c r="AH68" s="16">
        <f>VLOOKUP($A$67,'集計'!$A$4:$EP$61,127,FALSE)</f>
        <v>12.4</v>
      </c>
      <c r="AI68" s="15">
        <f>VLOOKUP($A$67,'集計'!$A$4:$EP$61,131,FALSE)</f>
        <v>0</v>
      </c>
      <c r="AJ68" s="16">
        <f>VLOOKUP($A$67,'集計'!$A$4:$EP$61,135,FALSE)</f>
        <v>0</v>
      </c>
      <c r="AK68" s="15">
        <f>VLOOKUP($A$67,'集計'!$A$4:$EP$61,139,FALSE)</f>
        <v>610</v>
      </c>
      <c r="AL68" s="16">
        <f>VLOOKUP($A$67,'集計'!$A$4:$EP$61,143,FALSE)</f>
        <v>488.72</v>
      </c>
    </row>
    <row r="69" spans="1:38" ht="13.5">
      <c r="A69" s="32" t="s">
        <v>23</v>
      </c>
      <c r="B69" s="15">
        <f>VLOOKUP($A$67,'集計'!$A$4:$EP$61,4,FALSE)</f>
        <v>184</v>
      </c>
      <c r="C69" s="16">
        <f>VLOOKUP($A$67,'集計'!$A$4:$EP$61,8,FALSE)</f>
        <v>51.44</v>
      </c>
      <c r="D69" s="15">
        <f>VLOOKUP($A$67,'集計'!$A$4:$EP$61,(12),FALSE)</f>
        <v>37</v>
      </c>
      <c r="E69" s="16">
        <f>VLOOKUP($A$67,'集計'!$A$4:$EP$61,16,FALSE)</f>
        <v>72.4</v>
      </c>
      <c r="F69" s="15">
        <f>VLOOKUP($A$67,'集計'!$A$4:$EP$61,20,FALSE)</f>
        <v>6</v>
      </c>
      <c r="G69" s="16">
        <f>VLOOKUP($A$67,'集計'!$A$4:$EP$61,24,FALSE)</f>
        <v>41.9</v>
      </c>
      <c r="H69" s="15">
        <f>VLOOKUP($A$67,'集計'!$A$4:$EP$61,28,FALSE)</f>
        <v>7</v>
      </c>
      <c r="I69" s="16">
        <f>VLOOKUP($A$67,'集計'!$A$4:$EP$61,32,FALSE)</f>
        <v>174.3</v>
      </c>
      <c r="J69" s="15">
        <f>VLOOKUP($A$67,'集計'!$A$4:$EP$61,36,FALSE)</f>
        <v>3</v>
      </c>
      <c r="K69" s="16">
        <f>VLOOKUP($A$67,'集計'!$A$4:$EP$61,40,FALSE)</f>
        <v>84.7</v>
      </c>
      <c r="L69" s="15">
        <f>VLOOKUP($A$67,'集計'!$A$4:$EP$61,44,FALSE)</f>
        <v>0</v>
      </c>
      <c r="M69" s="16">
        <f>VLOOKUP($A$67,'集計'!$A$4:$EP$61,48,FALSE)</f>
        <v>0</v>
      </c>
      <c r="N69" s="15">
        <f>VLOOKUP($A$67,'集計'!$A$4:$EP$61,52,FALSE)</f>
        <v>2</v>
      </c>
      <c r="O69" s="16">
        <f>VLOOKUP($A$67,'集計'!$A$4:$EP$61,56,FALSE)</f>
        <v>13.7</v>
      </c>
      <c r="P69" s="15">
        <f>VLOOKUP($A$67,'集計'!$A$4:$EP$61,60,FALSE)</f>
        <v>0</v>
      </c>
      <c r="Q69" s="16">
        <f>VLOOKUP($A$67,'集計'!$A$4:$EP$61,64,FALSE)</f>
        <v>0</v>
      </c>
      <c r="R69" s="15">
        <f>VLOOKUP($A$67,'集計'!$A$4:$EP$61,68,FALSE)</f>
        <v>239</v>
      </c>
      <c r="S69" s="16">
        <f>VLOOKUP($A$67,'集計'!$A$4:$EP$61,72,FALSE)</f>
        <v>438.44</v>
      </c>
      <c r="T69" s="32" t="s">
        <v>23</v>
      </c>
      <c r="U69" s="15">
        <f>VLOOKUP($A$67,'集計'!$A$4:$EP$61,76,FALSE)</f>
        <v>175</v>
      </c>
      <c r="V69" s="16">
        <f>VLOOKUP($A$67,'集計'!$A$4:$EP$61,80,FALSE)</f>
        <v>47.56</v>
      </c>
      <c r="W69" s="15">
        <f>VLOOKUP($A$67,'集計'!$A$4:$EP$61,84,FALSE)</f>
        <v>29</v>
      </c>
      <c r="X69" s="16">
        <f>VLOOKUP($A$67,'集計'!$A$4:$EP$61,88,FALSE)</f>
        <v>58.9</v>
      </c>
      <c r="Y69" s="15">
        <f>VLOOKUP($A$67,'集計'!$A$4:$EP$61,92,FALSE)</f>
        <v>6</v>
      </c>
      <c r="Z69" s="16">
        <f>VLOOKUP($A$67,'集計'!$A$4:$EP$61,96,FALSE)</f>
        <v>43.01</v>
      </c>
      <c r="AA69" s="15">
        <f>VLOOKUP($A$67,'集計'!$A$4:$EP$61,100,FALSE)</f>
        <v>6</v>
      </c>
      <c r="AB69" s="16">
        <f>VLOOKUP($A$67,'集計'!$A$4:$EP$61,104,FALSE)</f>
        <v>86.47</v>
      </c>
      <c r="AC69" s="15">
        <f>VLOOKUP($A$67,'集計'!$A$4:$EP$61,108,FALSE)</f>
        <v>3</v>
      </c>
      <c r="AD69" s="16">
        <f>VLOOKUP($A$67,'集計'!$A$4:$EP$61,112,FALSE)</f>
        <v>59.7</v>
      </c>
      <c r="AE69" s="15">
        <f>VLOOKUP($A$67,'集計'!$A$4:$EP$61,116,FALSE)</f>
        <v>0</v>
      </c>
      <c r="AF69" s="16">
        <f>VLOOKUP($A$67,'集計'!$A$4:$EP$61,120,FALSE)</f>
        <v>0</v>
      </c>
      <c r="AG69" s="15">
        <f>VLOOKUP($A$67,'集計'!$A$4:$EP$61,124,FALSE)</f>
        <v>2</v>
      </c>
      <c r="AH69" s="16">
        <f>VLOOKUP($A$67,'集計'!$A$4:$EP$61,128,FALSE)</f>
        <v>13.7</v>
      </c>
      <c r="AI69" s="15">
        <f>VLOOKUP($A$67,'集計'!$A$4:$EP$61,132,FALSE)</f>
        <v>0</v>
      </c>
      <c r="AJ69" s="16">
        <f>VLOOKUP($A$67,'集計'!$A$4:$EP$61,136,FALSE)</f>
        <v>0</v>
      </c>
      <c r="AK69" s="15">
        <f>VLOOKUP($A$67,'集計'!$A$4:$EP$61,140,FALSE)</f>
        <v>221</v>
      </c>
      <c r="AL69" s="16">
        <f>VLOOKUP($A$67,'集計'!$A$4:$EP$61,144,FALSE)</f>
        <v>309.34</v>
      </c>
    </row>
    <row r="70" spans="1:38" ht="13.5">
      <c r="A70" s="32" t="s">
        <v>24</v>
      </c>
      <c r="B70" s="15">
        <f>VLOOKUP($A$67,'集計'!$A$4:$EP$61,5,FALSE)</f>
        <v>32</v>
      </c>
      <c r="C70" s="16">
        <f>VLOOKUP($A$67,'集計'!$A$4:$EP$61,9,FALSE)</f>
        <v>13.68</v>
      </c>
      <c r="D70" s="15">
        <f>VLOOKUP($A$67,'集計'!$A$4:$EP$61,13,FALSE)</f>
        <v>7</v>
      </c>
      <c r="E70" s="16">
        <f>VLOOKUP($A$67,'集計'!$A$4:$EP$61,17,FALSE)</f>
        <v>15.8</v>
      </c>
      <c r="F70" s="15">
        <f>VLOOKUP($A$67,'集計'!$A$4:$EP$61,21,FALSE)</f>
        <v>14</v>
      </c>
      <c r="G70" s="16">
        <f>VLOOKUP($A$67,'集計'!$A$4:$EP$61,25,FALSE)</f>
        <v>78.35</v>
      </c>
      <c r="H70" s="15">
        <f>VLOOKUP($A$67,'集計'!$A$4:$EP$61,29,FALSE)</f>
        <v>5</v>
      </c>
      <c r="I70" s="16">
        <f>VLOOKUP($A$67,'集計'!$A$4:$EP$61,33,FALSE)</f>
        <v>171</v>
      </c>
      <c r="J70" s="15">
        <f>VLOOKUP($A$67,'集計'!$A$4:$EP$61,37,FALSE)</f>
        <v>5</v>
      </c>
      <c r="K70" s="16">
        <f>VLOOKUP($A$67,'集計'!$A$4:$EP$61,41,FALSE)</f>
        <v>56.1</v>
      </c>
      <c r="L70" s="15">
        <f>VLOOKUP($A$67,'集計'!$A$4:$EP$61,45,FALSE)</f>
        <v>3</v>
      </c>
      <c r="M70" s="16">
        <f>VLOOKUP($A$67,'集計'!$A$4:$EP$61,49,FALSE)</f>
        <v>184.6</v>
      </c>
      <c r="N70" s="15">
        <f>VLOOKUP($A$67,'集計'!$A$4:$EP$61,53,FALSE)</f>
        <v>0</v>
      </c>
      <c r="O70" s="16">
        <f>VLOOKUP($A$67,'集計'!$A$4:$EP$61,57,FALSE)</f>
        <v>0</v>
      </c>
      <c r="P70" s="15">
        <f>VLOOKUP($A$67,'集計'!$A$4:$EP$61,61,FALSE)</f>
        <v>4</v>
      </c>
      <c r="Q70" s="16">
        <f>VLOOKUP($A$67,'集計'!$A$4:$EP$61,65,FALSE)</f>
        <v>1447</v>
      </c>
      <c r="R70" s="15">
        <f>VLOOKUP($A$67,'集計'!$A$4:$EP$61,69,FALSE)</f>
        <v>70</v>
      </c>
      <c r="S70" s="16">
        <f>VLOOKUP($A$67,'集計'!$A$4:$EP$61,73,FALSE)</f>
        <v>1966.53</v>
      </c>
      <c r="T70" s="32" t="s">
        <v>24</v>
      </c>
      <c r="U70" s="15">
        <f>VLOOKUP($A$67,'集計'!$A$4:$EP$61,77,FALSE)</f>
        <v>24</v>
      </c>
      <c r="V70" s="16">
        <f>VLOOKUP($A$67,'集計'!$A$4:$EP$61,81,FALSE)</f>
        <v>11.72</v>
      </c>
      <c r="W70" s="15">
        <f>VLOOKUP($A$67,'集計'!$A$4:$EP$61,85,FALSE)</f>
        <v>8</v>
      </c>
      <c r="X70" s="16">
        <f>VLOOKUP($A$67,'集計'!$A$4:$EP$61,89,FALSE)</f>
        <v>18</v>
      </c>
      <c r="Y70" s="15">
        <f>VLOOKUP($A$67,'集計'!$A$4:$EP$61,93,FALSE)</f>
        <v>13</v>
      </c>
      <c r="Z70" s="16">
        <f>VLOOKUP($A$67,'集計'!$A$4:$EP$61,97,FALSE)</f>
        <v>72.55</v>
      </c>
      <c r="AA70" s="15">
        <f>VLOOKUP($A$67,'集計'!$A$4:$EP$61,101,FALSE)</f>
        <v>5</v>
      </c>
      <c r="AB70" s="16">
        <f>VLOOKUP($A$67,'集計'!$A$4:$EP$61,105,FALSE)</f>
        <v>132.1</v>
      </c>
      <c r="AC70" s="15">
        <f>VLOOKUP($A$67,'集計'!$A$4:$EP$61,109,FALSE)</f>
        <v>5</v>
      </c>
      <c r="AD70" s="16">
        <f>VLOOKUP($A$67,'集計'!$A$4:$EP$61,113,FALSE)</f>
        <v>56.1</v>
      </c>
      <c r="AE70" s="15">
        <f>VLOOKUP($A$67,'集計'!$A$4:$EP$61,117,FALSE)</f>
        <v>3</v>
      </c>
      <c r="AF70" s="16">
        <f>VLOOKUP($A$67,'集計'!$A$4:$EP$61,121,FALSE)</f>
        <v>114.5</v>
      </c>
      <c r="AG70" s="15">
        <f>VLOOKUP($A$67,'集計'!$A$4:$EP$61,125,FALSE)</f>
        <v>0</v>
      </c>
      <c r="AH70" s="16">
        <f>VLOOKUP($A$67,'集計'!$A$4:$EP$61,129,FALSE)</f>
        <v>0</v>
      </c>
      <c r="AI70" s="15">
        <f>VLOOKUP($A$67,'集計'!$A$4:$EP$61,133,FALSE)</f>
        <v>4</v>
      </c>
      <c r="AJ70" s="16">
        <f>VLOOKUP($A$67,'集計'!$A$4:$EP$61,137,FALSE)</f>
        <v>524.9</v>
      </c>
      <c r="AK70" s="15">
        <f>VLOOKUP($A$67,'集計'!$A$4:$EP$61,141,FALSE)</f>
        <v>62</v>
      </c>
      <c r="AL70" s="16">
        <f>VLOOKUP($A$67,'集計'!$A$4:$EP$61,145,FALSE)</f>
        <v>929.87</v>
      </c>
    </row>
    <row r="71" spans="1:38" ht="13.5">
      <c r="A71" s="32" t="s">
        <v>29</v>
      </c>
      <c r="B71" s="15">
        <f>VLOOKUP($A$71,'集計'!$A$4:$EP$61,6,FALSE)</f>
        <v>435</v>
      </c>
      <c r="C71" s="16">
        <f>VLOOKUP($A$71,'集計'!$A$4:$EP$61,10,FALSE)</f>
        <v>107.64</v>
      </c>
      <c r="D71" s="15">
        <f>VLOOKUP($A$71,'集計'!$A$4:$EP$61,14,FALSE)</f>
        <v>36</v>
      </c>
      <c r="E71" s="16">
        <f>VLOOKUP($A$71,'集計'!$A$4:$EP$61,18,FALSE)</f>
        <v>76.3</v>
      </c>
      <c r="F71" s="15">
        <f>VLOOKUP($A$71,'集計'!$A$4:$EP$61,22,FALSE)</f>
        <v>27</v>
      </c>
      <c r="G71" s="16">
        <f>VLOOKUP($A$71,'集計'!$A$4:$EP$61,26,FALSE)</f>
        <v>168.7</v>
      </c>
      <c r="H71" s="15">
        <f>VLOOKUP($A$71,'集計'!$A$4:$EP$61,30,FALSE)</f>
        <v>25</v>
      </c>
      <c r="I71" s="16">
        <f>VLOOKUP($A$71,'集計'!$A$4:$EP$61,34,FALSE)</f>
        <v>1017.8</v>
      </c>
      <c r="J71" s="15">
        <f>VLOOKUP($A$71,'集計'!$A$4:$EP$61,38,FALSE)</f>
        <v>6</v>
      </c>
      <c r="K71" s="16">
        <f>VLOOKUP($A$71,'集計'!$A$4:$EP$61,42,FALSE)</f>
        <v>215</v>
      </c>
      <c r="L71" s="15">
        <f>VLOOKUP($A$71,'集計'!$A$4:$EP$61,46,FALSE)</f>
        <v>3</v>
      </c>
      <c r="M71" s="16">
        <f>VLOOKUP($A$71,'集計'!$A$4:$EP$61,50,FALSE)</f>
        <v>234.9</v>
      </c>
      <c r="N71" s="15">
        <f>VLOOKUP($A$71,'集計'!$A$4:$EP$61,54,FALSE)</f>
        <v>2</v>
      </c>
      <c r="O71" s="16">
        <f>VLOOKUP($A$71,'集計'!$A$4:$EP$61,58,FALSE)</f>
        <v>39.7</v>
      </c>
      <c r="P71" s="15">
        <f>VLOOKUP($A$71,'集計'!$A$4:$EP$61,62,FALSE)</f>
        <v>3</v>
      </c>
      <c r="Q71" s="16">
        <f>VLOOKUP($A$71,'集計'!$A$4:$EP$61,66,FALSE)</f>
        <v>954.5</v>
      </c>
      <c r="R71" s="15">
        <f>VLOOKUP($A$71,'集計'!$A$4:$EP$61,70,FALSE)</f>
        <v>537</v>
      </c>
      <c r="S71" s="16">
        <f>VLOOKUP($A$71,'集計'!$A$4:$EP$61,74,FALSE)</f>
        <v>2814.54</v>
      </c>
      <c r="T71" s="32" t="s">
        <v>29</v>
      </c>
      <c r="U71" s="15">
        <f>VLOOKUP($A$71,'集計'!$A$4:$EP$61,78,FALSE)</f>
        <v>352</v>
      </c>
      <c r="V71" s="16">
        <f>VLOOKUP($A$71,'集計'!$A$4:$EP$61,82,FALSE)</f>
        <v>80.16</v>
      </c>
      <c r="W71" s="15">
        <f>VLOOKUP($A$71,'集計'!$A$4:$EP$61,86,FALSE)</f>
        <v>22</v>
      </c>
      <c r="X71" s="16">
        <f>VLOOKUP($A$71,'集計'!$A$4:$EP$61,90,FALSE)</f>
        <v>46.1</v>
      </c>
      <c r="Y71" s="15">
        <f>VLOOKUP($A$71,'集計'!$A$4:$EP$61,94,FALSE)</f>
        <v>25</v>
      </c>
      <c r="Z71" s="16">
        <f>VLOOKUP($A$71,'集計'!$A$4:$EP$61,98,FALSE)</f>
        <v>137.5</v>
      </c>
      <c r="AA71" s="15">
        <f>VLOOKUP($A$71,'集計'!$A$4:$EP$61,102,FALSE)</f>
        <v>24</v>
      </c>
      <c r="AB71" s="16">
        <f>VLOOKUP($A$71,'集計'!$A$4:$EP$61,106,FALSE)</f>
        <v>562.4</v>
      </c>
      <c r="AC71" s="15">
        <f>VLOOKUP($A$71,'集計'!$A$4:$EP$61,110,FALSE)</f>
        <v>6</v>
      </c>
      <c r="AD71" s="16">
        <f>VLOOKUP($A$71,'集計'!$A$4:$EP$61,114,FALSE)</f>
        <v>114.9</v>
      </c>
      <c r="AE71" s="15">
        <f>VLOOKUP($A$71,'集計'!$A$4:$EP$61,118,FALSE)</f>
        <v>0</v>
      </c>
      <c r="AF71" s="16">
        <f>VLOOKUP($A$71,'集計'!$A$4:$EP$61,122,FALSE)</f>
        <v>0</v>
      </c>
      <c r="AG71" s="15">
        <f>VLOOKUP($A$71,'集計'!$A$4:$EP$61,126,FALSE)</f>
        <v>2</v>
      </c>
      <c r="AH71" s="16">
        <f>VLOOKUP($A$71,'集計'!$A$4:$EP$61,130,FALSE)</f>
        <v>2.8</v>
      </c>
      <c r="AI71" s="15">
        <f>VLOOKUP($A$71,'集計'!$A$4:$EP$61,134,FALSE)</f>
        <v>3</v>
      </c>
      <c r="AJ71" s="16">
        <f>VLOOKUP($A$71,'集計'!$A$4:$EP$61,138,FALSE)</f>
        <v>289.9</v>
      </c>
      <c r="AK71" s="15">
        <f>VLOOKUP($A$71,'集計'!$A$4:$EP$61,142,FALSE)</f>
        <v>434</v>
      </c>
      <c r="AL71" s="16">
        <f>VLOOKUP($A$71,'集計'!$A$4:$EP$61,146,FALSE)</f>
        <v>1233.76</v>
      </c>
    </row>
    <row r="72" spans="1:38" ht="13.5">
      <c r="A72" s="32" t="s">
        <v>22</v>
      </c>
      <c r="B72" s="15">
        <f>VLOOKUP($A$71,'集計'!$A$4:$EP$61,3,FALSE)</f>
        <v>285</v>
      </c>
      <c r="C72" s="16">
        <f>VLOOKUP($A$71,'集計'!$A$4:$EP$61,7,FALSE)</f>
        <v>66.78</v>
      </c>
      <c r="D72" s="15">
        <f>VLOOKUP($A$71,'集計'!$A$4:$EP$61,11,FALSE)</f>
        <v>17</v>
      </c>
      <c r="E72" s="16">
        <f>VLOOKUP($A$71,'集計'!$A$4:$EP$61,15,FALSE)</f>
        <v>30.4</v>
      </c>
      <c r="F72" s="15">
        <f>VLOOKUP($A$71,'集計'!$A$4:$EP$61,19,FALSE)</f>
        <v>6</v>
      </c>
      <c r="G72" s="16">
        <f>VLOOKUP($A$71,'集計'!$A$4:$EP$61,23,FALSE)</f>
        <v>23.6</v>
      </c>
      <c r="H72" s="15">
        <f>VLOOKUP($A$71,'集計'!$A$4:$EP$61,27,FALSE)</f>
        <v>3</v>
      </c>
      <c r="I72" s="16">
        <f>VLOOKUP($A$71,'集計'!$A$4:$EP$61,31,FALSE)</f>
        <v>48.3</v>
      </c>
      <c r="J72" s="15">
        <f>VLOOKUP($A$71,'集計'!$A$4:$EP$61,35,FALSE)</f>
        <v>1</v>
      </c>
      <c r="K72" s="16">
        <f>VLOOKUP($A$71,'集計'!$A$4:$EP$61,39,FALSE)</f>
        <v>26.7</v>
      </c>
      <c r="L72" s="15">
        <f>VLOOKUP($A$71,'集計'!$A$4:$EP$61,43,FALSE)</f>
        <v>0</v>
      </c>
      <c r="M72" s="16">
        <f>VLOOKUP($A$71,'集計'!$A$4:$EP$61,47,FALSE)</f>
        <v>0</v>
      </c>
      <c r="N72" s="15">
        <f>VLOOKUP($A$71,'集計'!$A$4:$EP$61,51,FALSE)</f>
        <v>1</v>
      </c>
      <c r="O72" s="16">
        <f>VLOOKUP($A$71,'集計'!$A$4:$EP$61,55,FALSE)</f>
        <v>39.2</v>
      </c>
      <c r="P72" s="15">
        <f>VLOOKUP($A$71,'集計'!$A$4:$EP$61,59,FALSE)</f>
        <v>0</v>
      </c>
      <c r="Q72" s="16">
        <f>VLOOKUP($A$71,'集計'!$A$4:$EP$61,63,FALSE)</f>
        <v>0</v>
      </c>
      <c r="R72" s="15">
        <f>VLOOKUP($A$71,'集計'!$A$4:$EP$61,67,FALSE)</f>
        <v>313</v>
      </c>
      <c r="S72" s="16">
        <f>VLOOKUP($A$71,'集計'!$A$4:$EP$61,71,FALSE)</f>
        <v>234.98</v>
      </c>
      <c r="T72" s="32" t="s">
        <v>22</v>
      </c>
      <c r="U72" s="15">
        <f>VLOOKUP($A$71,'集計'!$A$4:$EP$61,75,FALSE)</f>
        <v>212</v>
      </c>
      <c r="V72" s="16">
        <f>VLOOKUP($A$71,'集計'!$A$4:$EP$61,79,FALSE)</f>
        <v>45.7</v>
      </c>
      <c r="W72" s="15">
        <f>VLOOKUP($A$71,'集計'!$A$4:$EP$61,83,FALSE)</f>
        <v>7</v>
      </c>
      <c r="X72" s="16">
        <f>VLOOKUP($A$71,'集計'!$A$4:$EP$61,87,FALSE)</f>
        <v>14.1</v>
      </c>
      <c r="Y72" s="15">
        <f>VLOOKUP($A$71,'集計'!$A$4:$EP$61,91,FALSE)</f>
        <v>5</v>
      </c>
      <c r="Z72" s="16">
        <f>VLOOKUP($A$71,'集計'!$A$4:$EP$61,95,FALSE)</f>
        <v>17.4</v>
      </c>
      <c r="AA72" s="15">
        <f>VLOOKUP($A$71,'集計'!$A$4:$EP$61,99,FALSE)</f>
        <v>3</v>
      </c>
      <c r="AB72" s="16">
        <f>VLOOKUP($A$71,'集計'!$A$4:$EP$61,103,FALSE)</f>
        <v>42.1</v>
      </c>
      <c r="AC72" s="15">
        <f>VLOOKUP($A$71,'集計'!$A$4:$EP$61,107,FALSE)</f>
        <v>1</v>
      </c>
      <c r="AD72" s="16">
        <f>VLOOKUP($A$71,'集計'!$A$4:$EP$61,111,FALSE)</f>
        <v>21.7</v>
      </c>
      <c r="AE72" s="15">
        <f>VLOOKUP($A$71,'集計'!$A$4:$EP$61,115,FALSE)</f>
        <v>0</v>
      </c>
      <c r="AF72" s="16">
        <f>VLOOKUP($A$71,'集計'!$A$4:$EP$61,119,FALSE)</f>
        <v>0</v>
      </c>
      <c r="AG72" s="15">
        <f>VLOOKUP($A$71,'集計'!$A$4:$EP$61,123,FALSE)</f>
        <v>0</v>
      </c>
      <c r="AH72" s="16">
        <f>VLOOKUP($A$71,'集計'!$A$4:$EP$61,127,FALSE)</f>
        <v>0</v>
      </c>
      <c r="AI72" s="15">
        <f>VLOOKUP($A$71,'集計'!$A$4:$EP$61,131,FALSE)</f>
        <v>0</v>
      </c>
      <c r="AJ72" s="16">
        <f>VLOOKUP($A$71,'集計'!$A$4:$EP$61,135,FALSE)</f>
        <v>0</v>
      </c>
      <c r="AK72" s="15">
        <f>VLOOKUP($A$71,'集計'!$A$4:$EP$61,139,FALSE)</f>
        <v>228</v>
      </c>
      <c r="AL72" s="16">
        <f>VLOOKUP($A$71,'集計'!$A$4:$EP$61,143,FALSE)</f>
        <v>141</v>
      </c>
    </row>
    <row r="73" spans="1:38" ht="13.5">
      <c r="A73" s="32" t="s">
        <v>23</v>
      </c>
      <c r="B73" s="15">
        <f>VLOOKUP($A$71,'集計'!$A$4:$EP$61,4,FALSE)</f>
        <v>105</v>
      </c>
      <c r="C73" s="16">
        <f>VLOOKUP($A$71,'集計'!$A$4:$EP$61,8,FALSE)</f>
        <v>27.58</v>
      </c>
      <c r="D73" s="15">
        <f>VLOOKUP($A$71,'集計'!$A$4:$EP$61,(12),FALSE)</f>
        <v>15</v>
      </c>
      <c r="E73" s="16">
        <f>VLOOKUP($A$71,'集計'!$A$4:$EP$61,16,FALSE)</f>
        <v>36.3</v>
      </c>
      <c r="F73" s="15">
        <f>VLOOKUP($A$71,'集計'!$A$4:$EP$61,20,FALSE)</f>
        <v>8</v>
      </c>
      <c r="G73" s="16">
        <f>VLOOKUP($A$71,'集計'!$A$4:$EP$61,24,FALSE)</f>
        <v>51.9</v>
      </c>
      <c r="H73" s="15">
        <f>VLOOKUP($A$71,'集計'!$A$4:$EP$61,28,FALSE)</f>
        <v>4</v>
      </c>
      <c r="I73" s="16">
        <f>VLOOKUP($A$71,'集計'!$A$4:$EP$61,32,FALSE)</f>
        <v>105.1</v>
      </c>
      <c r="J73" s="15">
        <f>VLOOKUP($A$71,'集計'!$A$4:$EP$61,36,FALSE)</f>
        <v>1</v>
      </c>
      <c r="K73" s="16">
        <f>VLOOKUP($A$71,'集計'!$A$4:$EP$61,40,FALSE)</f>
        <v>7.3</v>
      </c>
      <c r="L73" s="15">
        <f>VLOOKUP($A$71,'集計'!$A$4:$EP$61,44,FALSE)</f>
        <v>0</v>
      </c>
      <c r="M73" s="16">
        <f>VLOOKUP($A$71,'集計'!$A$4:$EP$61,48,FALSE)</f>
        <v>0</v>
      </c>
      <c r="N73" s="15">
        <f>VLOOKUP($A$71,'集計'!$A$4:$EP$61,52,FALSE)</f>
        <v>1</v>
      </c>
      <c r="O73" s="16">
        <f>VLOOKUP($A$71,'集計'!$A$4:$EP$61,56,FALSE)</f>
        <v>0.5</v>
      </c>
      <c r="P73" s="15">
        <f>VLOOKUP($A$71,'集計'!$A$4:$EP$61,60,FALSE)</f>
        <v>0</v>
      </c>
      <c r="Q73" s="16">
        <f>VLOOKUP($A$71,'集計'!$A$4:$EP$61,64,FALSE)</f>
        <v>0</v>
      </c>
      <c r="R73" s="15">
        <f>VLOOKUP($A$71,'集計'!$A$4:$EP$61,68,FALSE)</f>
        <v>134</v>
      </c>
      <c r="S73" s="16">
        <f>VLOOKUP($A$71,'集計'!$A$4:$EP$61,72,FALSE)</f>
        <v>228.68</v>
      </c>
      <c r="T73" s="32" t="s">
        <v>23</v>
      </c>
      <c r="U73" s="15">
        <f>VLOOKUP($A$71,'集計'!$A$4:$EP$61,76,FALSE)</f>
        <v>97</v>
      </c>
      <c r="V73" s="16">
        <f>VLOOKUP($A$71,'集計'!$A$4:$EP$61,80,FALSE)</f>
        <v>22.18</v>
      </c>
      <c r="W73" s="15">
        <f>VLOOKUP($A$71,'集計'!$A$4:$EP$61,84,FALSE)</f>
        <v>11</v>
      </c>
      <c r="X73" s="16">
        <f>VLOOKUP($A$71,'集計'!$A$4:$EP$61,88,FALSE)</f>
        <v>23.6</v>
      </c>
      <c r="Y73" s="15">
        <f>VLOOKUP($A$71,'集計'!$A$4:$EP$61,92,FALSE)</f>
        <v>8</v>
      </c>
      <c r="Z73" s="16">
        <f>VLOOKUP($A$71,'集計'!$A$4:$EP$61,96,FALSE)</f>
        <v>46</v>
      </c>
      <c r="AA73" s="15">
        <f>VLOOKUP($A$71,'集計'!$A$4:$EP$61,100,FALSE)</f>
        <v>4</v>
      </c>
      <c r="AB73" s="16">
        <f>VLOOKUP($A$71,'集計'!$A$4:$EP$61,104,FALSE)</f>
        <v>62.8</v>
      </c>
      <c r="AC73" s="15">
        <f>VLOOKUP($A$71,'集計'!$A$4:$EP$61,108,FALSE)</f>
        <v>1</v>
      </c>
      <c r="AD73" s="16">
        <f>VLOOKUP($A$71,'集計'!$A$4:$EP$61,112,FALSE)</f>
        <v>7.3</v>
      </c>
      <c r="AE73" s="15">
        <f>VLOOKUP($A$71,'集計'!$A$4:$EP$61,116,FALSE)</f>
        <v>0</v>
      </c>
      <c r="AF73" s="16">
        <f>VLOOKUP($A$71,'集計'!$A$4:$EP$61,120,FALSE)</f>
        <v>0</v>
      </c>
      <c r="AG73" s="15">
        <f>VLOOKUP($A$71,'集計'!$A$4:$EP$61,124,FALSE)</f>
        <v>2</v>
      </c>
      <c r="AH73" s="16">
        <f>VLOOKUP($A$71,'集計'!$A$4:$EP$61,128,FALSE)</f>
        <v>2.8</v>
      </c>
      <c r="AI73" s="15">
        <f>VLOOKUP($A$71,'集計'!$A$4:$EP$61,132,FALSE)</f>
        <v>0</v>
      </c>
      <c r="AJ73" s="16">
        <f>VLOOKUP($A$71,'集計'!$A$4:$EP$61,136,FALSE)</f>
        <v>0</v>
      </c>
      <c r="AK73" s="15">
        <f>VLOOKUP($A$71,'集計'!$A$4:$EP$61,140,FALSE)</f>
        <v>123</v>
      </c>
      <c r="AL73" s="16">
        <f>VLOOKUP($A$71,'集計'!$A$4:$EP$61,144,FALSE)</f>
        <v>164.68</v>
      </c>
    </row>
    <row r="74" spans="1:38" ht="13.5">
      <c r="A74" s="32" t="s">
        <v>24</v>
      </c>
      <c r="B74" s="15">
        <f>VLOOKUP($A$71,'集計'!$A$4:$EP$61,5,FALSE)</f>
        <v>45</v>
      </c>
      <c r="C74" s="16">
        <f>VLOOKUP($A$71,'集計'!$A$4:$EP$61,9,FALSE)</f>
        <v>13.28</v>
      </c>
      <c r="D74" s="15">
        <f>VLOOKUP($A$71,'集計'!$A$4:$EP$61,13,FALSE)</f>
        <v>4</v>
      </c>
      <c r="E74" s="16">
        <f>VLOOKUP($A$71,'集計'!$A$4:$EP$61,17,FALSE)</f>
        <v>9.6</v>
      </c>
      <c r="F74" s="15">
        <f>VLOOKUP($A$71,'集計'!$A$4:$EP$61,21,FALSE)</f>
        <v>13</v>
      </c>
      <c r="G74" s="16">
        <f>VLOOKUP($A$71,'集計'!$A$4:$EP$61,25,FALSE)</f>
        <v>93.2</v>
      </c>
      <c r="H74" s="15">
        <f>VLOOKUP($A$71,'集計'!$A$4:$EP$61,29,FALSE)</f>
        <v>18</v>
      </c>
      <c r="I74" s="16">
        <f>VLOOKUP($A$71,'集計'!$A$4:$EP$61,33,FALSE)</f>
        <v>864.4</v>
      </c>
      <c r="J74" s="15">
        <f>VLOOKUP($A$71,'集計'!$A$4:$EP$61,37,FALSE)</f>
        <v>4</v>
      </c>
      <c r="K74" s="16">
        <f>VLOOKUP($A$71,'集計'!$A$4:$EP$61,41,FALSE)</f>
        <v>181</v>
      </c>
      <c r="L74" s="15">
        <f>VLOOKUP($A$71,'集計'!$A$4:$EP$61,45,FALSE)</f>
        <v>3</v>
      </c>
      <c r="M74" s="16">
        <f>VLOOKUP($A$71,'集計'!$A$4:$EP$61,49,FALSE)</f>
        <v>234.9</v>
      </c>
      <c r="N74" s="15">
        <f>VLOOKUP($A$71,'集計'!$A$4:$EP$61,53,FALSE)</f>
        <v>0</v>
      </c>
      <c r="O74" s="16">
        <f>VLOOKUP($A$71,'集計'!$A$4:$EP$61,57,FALSE)</f>
        <v>0</v>
      </c>
      <c r="P74" s="15">
        <f>VLOOKUP($A$71,'集計'!$A$4:$EP$61,61,FALSE)</f>
        <v>3</v>
      </c>
      <c r="Q74" s="16">
        <f>VLOOKUP($A$71,'集計'!$A$4:$EP$61,65,FALSE)</f>
        <v>954.5</v>
      </c>
      <c r="R74" s="15">
        <f>VLOOKUP($A$71,'集計'!$A$4:$EP$61,69,FALSE)</f>
        <v>90</v>
      </c>
      <c r="S74" s="16">
        <f>VLOOKUP($A$71,'集計'!$A$4:$EP$61,73,FALSE)</f>
        <v>2350.88</v>
      </c>
      <c r="T74" s="32" t="s">
        <v>24</v>
      </c>
      <c r="U74" s="15">
        <f>VLOOKUP($A$71,'集計'!$A$4:$EP$61,77,FALSE)</f>
        <v>43</v>
      </c>
      <c r="V74" s="16">
        <f>VLOOKUP($A$71,'集計'!$A$4:$EP$61,81,FALSE)</f>
        <v>12.28</v>
      </c>
      <c r="W74" s="15">
        <f>VLOOKUP($A$71,'集計'!$A$4:$EP$61,85,FALSE)</f>
        <v>4</v>
      </c>
      <c r="X74" s="16">
        <f>VLOOKUP($A$71,'集計'!$A$4:$EP$61,89,FALSE)</f>
        <v>8.4</v>
      </c>
      <c r="Y74" s="15">
        <f>VLOOKUP($A$71,'集計'!$A$4:$EP$61,93,FALSE)</f>
        <v>12</v>
      </c>
      <c r="Z74" s="16">
        <f>VLOOKUP($A$71,'集計'!$A$4:$EP$61,97,FALSE)</f>
        <v>74.1</v>
      </c>
      <c r="AA74" s="15">
        <f>VLOOKUP($A$71,'集計'!$A$4:$EP$61,101,FALSE)</f>
        <v>17</v>
      </c>
      <c r="AB74" s="16">
        <f>VLOOKUP($A$71,'集計'!$A$4:$EP$61,105,FALSE)</f>
        <v>457.5</v>
      </c>
      <c r="AC74" s="15">
        <f>VLOOKUP($A$71,'集計'!$A$4:$EP$61,109,FALSE)</f>
        <v>4</v>
      </c>
      <c r="AD74" s="16">
        <f>VLOOKUP($A$71,'集計'!$A$4:$EP$61,113,FALSE)</f>
        <v>85.9</v>
      </c>
      <c r="AE74" s="15">
        <f>VLOOKUP($A$71,'集計'!$A$4:$EP$61,117,FALSE)</f>
        <v>0</v>
      </c>
      <c r="AF74" s="16">
        <f>VLOOKUP($A$71,'集計'!$A$4:$EP$61,121,FALSE)</f>
        <v>0</v>
      </c>
      <c r="AG74" s="15">
        <f>VLOOKUP($A$71,'集計'!$A$4:$EP$61,125,FALSE)</f>
        <v>0</v>
      </c>
      <c r="AH74" s="16">
        <f>VLOOKUP($A$71,'集計'!$A$4:$EP$61,129,FALSE)</f>
        <v>0</v>
      </c>
      <c r="AI74" s="15">
        <f>VLOOKUP($A$71,'集計'!$A$4:$EP$61,133,FALSE)</f>
        <v>3</v>
      </c>
      <c r="AJ74" s="16">
        <f>VLOOKUP($A$71,'集計'!$A$4:$EP$61,137,FALSE)</f>
        <v>289.9</v>
      </c>
      <c r="AK74" s="15">
        <f>VLOOKUP($A$71,'集計'!$A$4:$EP$61,141,FALSE)</f>
        <v>83</v>
      </c>
      <c r="AL74" s="16">
        <f>VLOOKUP($A$71,'集計'!$A$4:$EP$61,145,FALSE)</f>
        <v>928.08</v>
      </c>
    </row>
    <row r="75" spans="1:38" ht="13.5">
      <c r="A75" s="32" t="s">
        <v>30</v>
      </c>
      <c r="B75" s="15">
        <f>VLOOKUP($A$75,'集計'!$A$4:$EP$61,6,FALSE)</f>
        <v>468</v>
      </c>
      <c r="C75" s="16">
        <f>VLOOKUP($A$75,'集計'!$A$4:$EP$61,10,FALSE)</f>
        <v>112.48</v>
      </c>
      <c r="D75" s="15">
        <f>VLOOKUP($A$75,'集計'!$A$4:$EP$61,14,FALSE)</f>
        <v>54</v>
      </c>
      <c r="E75" s="16">
        <f>VLOOKUP($A$75,'集計'!$A$4:$EP$61,18,FALSE)</f>
        <v>83.2</v>
      </c>
      <c r="F75" s="15">
        <f>VLOOKUP($A$75,'集計'!$A$4:$EP$61,22,FALSE)</f>
        <v>14</v>
      </c>
      <c r="G75" s="16">
        <f>VLOOKUP($A$75,'集計'!$A$4:$EP$61,26,FALSE)</f>
        <v>90.4</v>
      </c>
      <c r="H75" s="15">
        <f>VLOOKUP($A$75,'集計'!$A$4:$EP$61,30,FALSE)</f>
        <v>21</v>
      </c>
      <c r="I75" s="16">
        <f>VLOOKUP($A$75,'集計'!$A$4:$EP$61,34,FALSE)</f>
        <v>695.6</v>
      </c>
      <c r="J75" s="15">
        <f>VLOOKUP($A$75,'集計'!$A$4:$EP$61,38,FALSE)</f>
        <v>10</v>
      </c>
      <c r="K75" s="16">
        <f>VLOOKUP($A$75,'集計'!$A$4:$EP$61,42,FALSE)</f>
        <v>116.6</v>
      </c>
      <c r="L75" s="15">
        <f>VLOOKUP($A$75,'集計'!$A$4:$EP$61,46,FALSE)</f>
        <v>4</v>
      </c>
      <c r="M75" s="16">
        <f>VLOOKUP($A$75,'集計'!$A$4:$EP$61,50,FALSE)</f>
        <v>336.6</v>
      </c>
      <c r="N75" s="15">
        <f>VLOOKUP($A$75,'集計'!$A$4:$EP$61,54,FALSE)</f>
        <v>4</v>
      </c>
      <c r="O75" s="16">
        <f>VLOOKUP($A$75,'集計'!$A$4:$EP$61,58,FALSE)</f>
        <v>39.5</v>
      </c>
      <c r="P75" s="15">
        <f>VLOOKUP($A$75,'集計'!$A$4:$EP$61,62,FALSE)</f>
        <v>3</v>
      </c>
      <c r="Q75" s="16">
        <f>VLOOKUP($A$75,'集計'!$A$4:$EP$61,66,FALSE)</f>
        <v>264.1</v>
      </c>
      <c r="R75" s="15">
        <f>VLOOKUP($A$75,'集計'!$A$4:$EP$61,70,FALSE)</f>
        <v>578</v>
      </c>
      <c r="S75" s="16">
        <f>VLOOKUP($A$75,'集計'!$A$4:$EP$61,74,FALSE)</f>
        <v>1738.48</v>
      </c>
      <c r="T75" s="32" t="s">
        <v>30</v>
      </c>
      <c r="U75" s="15">
        <f>VLOOKUP($A$75,'集計'!$A$4:$EP$61,78,FALSE)</f>
        <v>446</v>
      </c>
      <c r="V75" s="16">
        <f>VLOOKUP($A$75,'集計'!$A$4:$EP$61,82,FALSE)</f>
        <v>106.6</v>
      </c>
      <c r="W75" s="15">
        <f>VLOOKUP($A$75,'集計'!$A$4:$EP$61,86,FALSE)</f>
        <v>52</v>
      </c>
      <c r="X75" s="16">
        <f>VLOOKUP($A$75,'集計'!$A$4:$EP$61,90,FALSE)</f>
        <v>79</v>
      </c>
      <c r="Y75" s="15">
        <f>VLOOKUP($A$75,'集計'!$A$4:$EP$61,94,FALSE)</f>
        <v>12</v>
      </c>
      <c r="Z75" s="16">
        <f>VLOOKUP($A$75,'集計'!$A$4:$EP$61,98,FALSE)</f>
        <v>77.5</v>
      </c>
      <c r="AA75" s="15">
        <f>VLOOKUP($A$75,'集計'!$A$4:$EP$61,102,FALSE)</f>
        <v>21</v>
      </c>
      <c r="AB75" s="16">
        <f>VLOOKUP($A$75,'集計'!$A$4:$EP$61,106,FALSE)</f>
        <v>433.3</v>
      </c>
      <c r="AC75" s="15">
        <f>VLOOKUP($A$75,'集計'!$A$4:$EP$61,110,FALSE)</f>
        <v>8</v>
      </c>
      <c r="AD75" s="16">
        <f>VLOOKUP($A$75,'集計'!$A$4:$EP$61,114,FALSE)</f>
        <v>105.5</v>
      </c>
      <c r="AE75" s="15">
        <f>VLOOKUP($A$75,'集計'!$A$4:$EP$61,118,FALSE)</f>
        <v>4</v>
      </c>
      <c r="AF75" s="16">
        <f>VLOOKUP($A$75,'集計'!$A$4:$EP$61,122,FALSE)</f>
        <v>77.1</v>
      </c>
      <c r="AG75" s="15">
        <f>VLOOKUP($A$75,'集計'!$A$4:$EP$61,126,FALSE)</f>
        <v>2</v>
      </c>
      <c r="AH75" s="16">
        <f>VLOOKUP($A$75,'集計'!$A$4:$EP$61,130,FALSE)</f>
        <v>20.4</v>
      </c>
      <c r="AI75" s="15">
        <f>VLOOKUP($A$75,'集計'!$A$4:$EP$61,134,FALSE)</f>
        <v>3</v>
      </c>
      <c r="AJ75" s="16">
        <f>VLOOKUP($A$75,'集計'!$A$4:$EP$61,138,FALSE)</f>
        <v>237.2</v>
      </c>
      <c r="AK75" s="15">
        <f>VLOOKUP($A$75,'集計'!$A$4:$EP$61,142,FALSE)</f>
        <v>548</v>
      </c>
      <c r="AL75" s="16">
        <f>VLOOKUP($A$75,'集計'!$A$4:$EP$61,146,FALSE)</f>
        <v>1136.6</v>
      </c>
    </row>
    <row r="76" spans="1:38" ht="13.5">
      <c r="A76" s="32" t="s">
        <v>22</v>
      </c>
      <c r="B76" s="15">
        <f>VLOOKUP($A$75,'集計'!$A$4:$EP$61,3,FALSE)</f>
        <v>338</v>
      </c>
      <c r="C76" s="16">
        <f>VLOOKUP($A$75,'集計'!$A$4:$EP$61,7,FALSE)</f>
        <v>79.6</v>
      </c>
      <c r="D76" s="15">
        <f>VLOOKUP($A$75,'集計'!$A$4:$EP$61,11,FALSE)</f>
        <v>29</v>
      </c>
      <c r="E76" s="16">
        <f>VLOOKUP($A$75,'集計'!$A$4:$EP$61,15,FALSE)</f>
        <v>41.8</v>
      </c>
      <c r="F76" s="15">
        <f>VLOOKUP($A$75,'集計'!$A$4:$EP$61,19,FALSE)</f>
        <v>8</v>
      </c>
      <c r="G76" s="16">
        <f>VLOOKUP($A$75,'集計'!$A$4:$EP$61,23,FALSE)</f>
        <v>51.1</v>
      </c>
      <c r="H76" s="15">
        <f>VLOOKUP($A$75,'集計'!$A$4:$EP$61,27,FALSE)</f>
        <v>5</v>
      </c>
      <c r="I76" s="16">
        <f>VLOOKUP($A$75,'集計'!$A$4:$EP$61,31,FALSE)</f>
        <v>86</v>
      </c>
      <c r="J76" s="15">
        <f>VLOOKUP($A$75,'集計'!$A$4:$EP$61,35,FALSE)</f>
        <v>2</v>
      </c>
      <c r="K76" s="16">
        <f>VLOOKUP($A$75,'集計'!$A$4:$EP$61,39,FALSE)</f>
        <v>24.6</v>
      </c>
      <c r="L76" s="15">
        <f>VLOOKUP($A$75,'集計'!$A$4:$EP$61,43,FALSE)</f>
        <v>0</v>
      </c>
      <c r="M76" s="16">
        <f>VLOOKUP($A$75,'集計'!$A$4:$EP$61,47,FALSE)</f>
        <v>0</v>
      </c>
      <c r="N76" s="15">
        <f>VLOOKUP($A$75,'集計'!$A$4:$EP$61,51,FALSE)</f>
        <v>0</v>
      </c>
      <c r="O76" s="16">
        <f>VLOOKUP($A$75,'集計'!$A$4:$EP$61,55,FALSE)</f>
        <v>0</v>
      </c>
      <c r="P76" s="15">
        <f>VLOOKUP($A$75,'集計'!$A$4:$EP$61,59,FALSE)</f>
        <v>0</v>
      </c>
      <c r="Q76" s="16">
        <f>VLOOKUP($A$75,'集計'!$A$4:$EP$61,63,FALSE)</f>
        <v>0</v>
      </c>
      <c r="R76" s="15">
        <f>VLOOKUP($A$75,'集計'!$A$4:$EP$61,67,FALSE)</f>
        <v>382</v>
      </c>
      <c r="S76" s="16">
        <f>VLOOKUP($A$75,'集計'!$A$4:$EP$61,71,FALSE)</f>
        <v>283.1</v>
      </c>
      <c r="T76" s="32" t="s">
        <v>22</v>
      </c>
      <c r="U76" s="15">
        <f>VLOOKUP($A$75,'集計'!$A$4:$EP$61,75,FALSE)</f>
        <v>329</v>
      </c>
      <c r="V76" s="16">
        <f>VLOOKUP($A$75,'集計'!$A$4:$EP$61,79,FALSE)</f>
        <v>77.63</v>
      </c>
      <c r="W76" s="15">
        <f>VLOOKUP($A$75,'集計'!$A$4:$EP$61,83,FALSE)</f>
        <v>29</v>
      </c>
      <c r="X76" s="16">
        <f>VLOOKUP($A$75,'集計'!$A$4:$EP$61,87,FALSE)</f>
        <v>40.1</v>
      </c>
      <c r="Y76" s="15">
        <f>VLOOKUP($A$75,'集計'!$A$4:$EP$61,91,FALSE)</f>
        <v>8</v>
      </c>
      <c r="Z76" s="16">
        <f>VLOOKUP($A$75,'集計'!$A$4:$EP$61,95,FALSE)</f>
        <v>47.6</v>
      </c>
      <c r="AA76" s="15">
        <f>VLOOKUP($A$75,'集計'!$A$4:$EP$61,99,FALSE)</f>
        <v>5</v>
      </c>
      <c r="AB76" s="16">
        <f>VLOOKUP($A$75,'集計'!$A$4:$EP$61,103,FALSE)</f>
        <v>85.2</v>
      </c>
      <c r="AC76" s="15">
        <f>VLOOKUP($A$75,'集計'!$A$4:$EP$61,107,FALSE)</f>
        <v>1</v>
      </c>
      <c r="AD76" s="16">
        <f>VLOOKUP($A$75,'集計'!$A$4:$EP$61,111,FALSE)</f>
        <v>22.6</v>
      </c>
      <c r="AE76" s="15">
        <f>VLOOKUP($A$75,'集計'!$A$4:$EP$61,115,FALSE)</f>
        <v>0</v>
      </c>
      <c r="AF76" s="16">
        <f>VLOOKUP($A$75,'集計'!$A$4:$EP$61,119,FALSE)</f>
        <v>0</v>
      </c>
      <c r="AG76" s="15">
        <f>VLOOKUP($A$75,'集計'!$A$4:$EP$61,123,FALSE)</f>
        <v>0</v>
      </c>
      <c r="AH76" s="16">
        <f>VLOOKUP($A$75,'集計'!$A$4:$EP$61,127,FALSE)</f>
        <v>0</v>
      </c>
      <c r="AI76" s="15">
        <f>VLOOKUP($A$75,'集計'!$A$4:$EP$61,131,FALSE)</f>
        <v>0</v>
      </c>
      <c r="AJ76" s="16">
        <f>VLOOKUP($A$75,'集計'!$A$4:$EP$61,135,FALSE)</f>
        <v>0</v>
      </c>
      <c r="AK76" s="15">
        <f>VLOOKUP($A$75,'集計'!$A$4:$EP$61,139,FALSE)</f>
        <v>372</v>
      </c>
      <c r="AL76" s="16">
        <f>VLOOKUP($A$75,'集計'!$A$4:$EP$61,143,FALSE)</f>
        <v>273.13</v>
      </c>
    </row>
    <row r="77" spans="1:38" ht="13.5">
      <c r="A77" s="32" t="s">
        <v>23</v>
      </c>
      <c r="B77" s="15">
        <f>VLOOKUP($A$75,'集計'!$A$4:$EP$61,4,FALSE)</f>
        <v>127</v>
      </c>
      <c r="C77" s="16">
        <f>VLOOKUP($A$75,'集計'!$A$4:$EP$61,8,FALSE)</f>
        <v>32.22</v>
      </c>
      <c r="D77" s="15">
        <f>VLOOKUP($A$75,'集計'!$A$4:$EP$61,(12),FALSE)</f>
        <v>17</v>
      </c>
      <c r="E77" s="16">
        <f>VLOOKUP($A$75,'集計'!$A$4:$EP$61,16,FALSE)</f>
        <v>23.5</v>
      </c>
      <c r="F77" s="15">
        <f>VLOOKUP($A$75,'集計'!$A$4:$EP$61,20,FALSE)</f>
        <v>3</v>
      </c>
      <c r="G77" s="16">
        <f>VLOOKUP($A$75,'集計'!$A$4:$EP$61,24,FALSE)</f>
        <v>12.2</v>
      </c>
      <c r="H77" s="15">
        <f>VLOOKUP($A$75,'集計'!$A$4:$EP$61,28,FALSE)</f>
        <v>6</v>
      </c>
      <c r="I77" s="16">
        <f>VLOOKUP($A$75,'集計'!$A$4:$EP$61,32,FALSE)</f>
        <v>278.4</v>
      </c>
      <c r="J77" s="15">
        <f>VLOOKUP($A$75,'集計'!$A$4:$EP$61,36,FALSE)</f>
        <v>0</v>
      </c>
      <c r="K77" s="16">
        <f>VLOOKUP($A$75,'集計'!$A$4:$EP$61,40,FALSE)</f>
        <v>0</v>
      </c>
      <c r="L77" s="15">
        <f>VLOOKUP($A$75,'集計'!$A$4:$EP$61,44,FALSE)</f>
        <v>0</v>
      </c>
      <c r="M77" s="16">
        <f>VLOOKUP($A$75,'集計'!$A$4:$EP$61,48,FALSE)</f>
        <v>0</v>
      </c>
      <c r="N77" s="15">
        <f>VLOOKUP($A$75,'集計'!$A$4:$EP$61,52,FALSE)</f>
        <v>0</v>
      </c>
      <c r="O77" s="16">
        <f>VLOOKUP($A$75,'集計'!$A$4:$EP$61,56,FALSE)</f>
        <v>0</v>
      </c>
      <c r="P77" s="15">
        <f>VLOOKUP($A$75,'集計'!$A$4:$EP$61,60,FALSE)</f>
        <v>0</v>
      </c>
      <c r="Q77" s="16">
        <f>VLOOKUP($A$75,'集計'!$A$4:$EP$61,64,FALSE)</f>
        <v>0</v>
      </c>
      <c r="R77" s="15">
        <f>VLOOKUP($A$75,'集計'!$A$4:$EP$61,68,FALSE)</f>
        <v>153</v>
      </c>
      <c r="S77" s="16">
        <f>VLOOKUP($A$75,'集計'!$A$4:$EP$61,72,FALSE)</f>
        <v>346.32</v>
      </c>
      <c r="T77" s="32" t="s">
        <v>23</v>
      </c>
      <c r="U77" s="15">
        <f>VLOOKUP($A$75,'集計'!$A$4:$EP$61,76,FALSE)</f>
        <v>114</v>
      </c>
      <c r="V77" s="16">
        <f>VLOOKUP($A$75,'集計'!$A$4:$EP$61,80,FALSE)</f>
        <v>28.31</v>
      </c>
      <c r="W77" s="15">
        <f>VLOOKUP($A$75,'集計'!$A$4:$EP$61,84,FALSE)</f>
        <v>15</v>
      </c>
      <c r="X77" s="16">
        <f>VLOOKUP($A$75,'集計'!$A$4:$EP$61,88,FALSE)</f>
        <v>21</v>
      </c>
      <c r="Y77" s="15">
        <f>VLOOKUP($A$75,'集計'!$A$4:$EP$61,92,FALSE)</f>
        <v>1</v>
      </c>
      <c r="Z77" s="16">
        <f>VLOOKUP($A$75,'集計'!$A$4:$EP$61,96,FALSE)</f>
        <v>5</v>
      </c>
      <c r="AA77" s="15">
        <f>VLOOKUP($A$75,'集計'!$A$4:$EP$61,100,FALSE)</f>
        <v>6</v>
      </c>
      <c r="AB77" s="16">
        <f>VLOOKUP($A$75,'集計'!$A$4:$EP$61,104,FALSE)</f>
        <v>136.5</v>
      </c>
      <c r="AC77" s="15">
        <f>VLOOKUP($A$75,'集計'!$A$4:$EP$61,108,FALSE)</f>
        <v>0</v>
      </c>
      <c r="AD77" s="16">
        <f>VLOOKUP($A$75,'集計'!$A$4:$EP$61,112,FALSE)</f>
        <v>0</v>
      </c>
      <c r="AE77" s="15">
        <f>VLOOKUP($A$75,'集計'!$A$4:$EP$61,116,FALSE)</f>
        <v>0</v>
      </c>
      <c r="AF77" s="16">
        <f>VLOOKUP($A$75,'集計'!$A$4:$EP$61,120,FALSE)</f>
        <v>0</v>
      </c>
      <c r="AG77" s="15">
        <f>VLOOKUP($A$75,'集計'!$A$4:$EP$61,124,FALSE)</f>
        <v>0</v>
      </c>
      <c r="AH77" s="16">
        <f>VLOOKUP($A$75,'集計'!$A$4:$EP$61,128,FALSE)</f>
        <v>0</v>
      </c>
      <c r="AI77" s="15">
        <f>VLOOKUP($A$75,'集計'!$A$4:$EP$61,132,FALSE)</f>
        <v>0</v>
      </c>
      <c r="AJ77" s="16">
        <f>VLOOKUP($A$75,'集計'!$A$4:$EP$61,136,FALSE)</f>
        <v>0</v>
      </c>
      <c r="AK77" s="15">
        <f>VLOOKUP($A$75,'集計'!$A$4:$EP$61,140,FALSE)</f>
        <v>136</v>
      </c>
      <c r="AL77" s="16">
        <f>VLOOKUP($A$75,'集計'!$A$4:$EP$61,144,FALSE)</f>
        <v>190.81</v>
      </c>
    </row>
    <row r="78" spans="1:38" ht="13.5">
      <c r="A78" s="32" t="s">
        <v>24</v>
      </c>
      <c r="B78" s="15">
        <f>VLOOKUP($A$75,'集計'!$A$4:$EP$61,5,FALSE)</f>
        <v>3</v>
      </c>
      <c r="C78" s="16">
        <f>VLOOKUP($A$75,'集計'!$A$4:$EP$61,9,FALSE)</f>
        <v>0.66</v>
      </c>
      <c r="D78" s="15">
        <f>VLOOKUP($A$75,'集計'!$A$4:$EP$61,13,FALSE)</f>
        <v>8</v>
      </c>
      <c r="E78" s="16">
        <f>VLOOKUP($A$75,'集計'!$A$4:$EP$61,17,FALSE)</f>
        <v>17.9</v>
      </c>
      <c r="F78" s="15">
        <f>VLOOKUP($A$75,'集計'!$A$4:$EP$61,21,FALSE)</f>
        <v>3</v>
      </c>
      <c r="G78" s="16">
        <f>VLOOKUP($A$75,'集計'!$A$4:$EP$61,25,FALSE)</f>
        <v>27.1</v>
      </c>
      <c r="H78" s="15">
        <f>VLOOKUP($A$75,'集計'!$A$4:$EP$61,29,FALSE)</f>
        <v>10</v>
      </c>
      <c r="I78" s="16">
        <f>VLOOKUP($A$75,'集計'!$A$4:$EP$61,33,FALSE)</f>
        <v>331.2</v>
      </c>
      <c r="J78" s="15">
        <f>VLOOKUP($A$75,'集計'!$A$4:$EP$61,37,FALSE)</f>
        <v>8</v>
      </c>
      <c r="K78" s="16">
        <f>VLOOKUP($A$75,'集計'!$A$4:$EP$61,41,FALSE)</f>
        <v>92</v>
      </c>
      <c r="L78" s="15">
        <f>VLOOKUP($A$75,'集計'!$A$4:$EP$61,45,FALSE)</f>
        <v>4</v>
      </c>
      <c r="M78" s="16">
        <f>VLOOKUP($A$75,'集計'!$A$4:$EP$61,49,FALSE)</f>
        <v>336.6</v>
      </c>
      <c r="N78" s="15">
        <f>VLOOKUP($A$75,'集計'!$A$4:$EP$61,53,FALSE)</f>
        <v>4</v>
      </c>
      <c r="O78" s="16">
        <f>VLOOKUP($A$75,'集計'!$A$4:$EP$61,57,FALSE)</f>
        <v>39.5</v>
      </c>
      <c r="P78" s="15">
        <f>VLOOKUP($A$75,'集計'!$A$4:$EP$61,61,FALSE)</f>
        <v>3</v>
      </c>
      <c r="Q78" s="16">
        <f>VLOOKUP($A$75,'集計'!$A$4:$EP$61,65,FALSE)</f>
        <v>264.1</v>
      </c>
      <c r="R78" s="15">
        <f>VLOOKUP($A$75,'集計'!$A$4:$EP$61,69,FALSE)</f>
        <v>43</v>
      </c>
      <c r="S78" s="16">
        <f>VLOOKUP($A$75,'集計'!$A$4:$EP$61,73,FALSE)</f>
        <v>1109.06</v>
      </c>
      <c r="T78" s="32" t="s">
        <v>24</v>
      </c>
      <c r="U78" s="15">
        <f>VLOOKUP($A$75,'集計'!$A$4:$EP$61,77,FALSE)</f>
        <v>3</v>
      </c>
      <c r="V78" s="16">
        <f>VLOOKUP($A$75,'集計'!$A$4:$EP$61,81,FALSE)</f>
        <v>0.66</v>
      </c>
      <c r="W78" s="15">
        <f>VLOOKUP($A$75,'集計'!$A$4:$EP$61,85,FALSE)</f>
        <v>8</v>
      </c>
      <c r="X78" s="16">
        <f>VLOOKUP($A$75,'集計'!$A$4:$EP$61,89,FALSE)</f>
        <v>17.9</v>
      </c>
      <c r="Y78" s="15">
        <f>VLOOKUP($A$75,'集計'!$A$4:$EP$61,93,FALSE)</f>
        <v>3</v>
      </c>
      <c r="Z78" s="16">
        <f>VLOOKUP($A$75,'集計'!$A$4:$EP$61,97,FALSE)</f>
        <v>24.9</v>
      </c>
      <c r="AA78" s="15">
        <f>VLOOKUP($A$75,'集計'!$A$4:$EP$61,101,FALSE)</f>
        <v>10</v>
      </c>
      <c r="AB78" s="16">
        <f>VLOOKUP($A$75,'集計'!$A$4:$EP$61,105,FALSE)</f>
        <v>211.6</v>
      </c>
      <c r="AC78" s="15">
        <f>VLOOKUP($A$75,'集計'!$A$4:$EP$61,109,FALSE)</f>
        <v>7</v>
      </c>
      <c r="AD78" s="16">
        <f>VLOOKUP($A$75,'集計'!$A$4:$EP$61,113,FALSE)</f>
        <v>82.9</v>
      </c>
      <c r="AE78" s="15">
        <f>VLOOKUP($A$75,'集計'!$A$4:$EP$61,117,FALSE)</f>
        <v>4</v>
      </c>
      <c r="AF78" s="16">
        <f>VLOOKUP($A$75,'集計'!$A$4:$EP$61,121,FALSE)</f>
        <v>77.1</v>
      </c>
      <c r="AG78" s="15">
        <f>VLOOKUP($A$75,'集計'!$A$4:$EP$61,125,FALSE)</f>
        <v>2</v>
      </c>
      <c r="AH78" s="16">
        <f>VLOOKUP($A$75,'集計'!$A$4:$EP$61,129,FALSE)</f>
        <v>20.4</v>
      </c>
      <c r="AI78" s="15">
        <f>VLOOKUP($A$75,'集計'!$A$4:$EP$61,133,FALSE)</f>
        <v>3</v>
      </c>
      <c r="AJ78" s="16">
        <f>VLOOKUP($A$75,'集計'!$A$4:$EP$61,137,FALSE)</f>
        <v>237.2</v>
      </c>
      <c r="AK78" s="15">
        <f>VLOOKUP($A$75,'集計'!$A$4:$EP$61,141,FALSE)</f>
        <v>40</v>
      </c>
      <c r="AL78" s="16">
        <f>VLOOKUP($A$75,'集計'!$A$4:$EP$61,145,FALSE)</f>
        <v>672.66</v>
      </c>
    </row>
    <row r="79" spans="1:38" ht="13.5">
      <c r="A79" s="32" t="s">
        <v>31</v>
      </c>
      <c r="B79" s="15">
        <f>VLOOKUP($A$79,'集計'!$A$4:$EP$61,6,FALSE)</f>
        <v>426</v>
      </c>
      <c r="C79" s="16">
        <f>VLOOKUP($A$79,'集計'!$A$4:$EP$61,10,FALSE)</f>
        <v>121.43</v>
      </c>
      <c r="D79" s="15">
        <f>VLOOKUP($A$79,'集計'!$A$4:$EP$61,14,FALSE)</f>
        <v>58</v>
      </c>
      <c r="E79" s="16">
        <f>VLOOKUP($A$79,'集計'!$A$4:$EP$61,18,FALSE)</f>
        <v>137.5</v>
      </c>
      <c r="F79" s="15">
        <f>VLOOKUP($A$79,'集計'!$A$4:$EP$61,22,FALSE)</f>
        <v>12</v>
      </c>
      <c r="G79" s="16">
        <f>VLOOKUP($A$79,'集計'!$A$4:$EP$61,26,FALSE)</f>
        <v>67.2</v>
      </c>
      <c r="H79" s="15">
        <f>VLOOKUP($A$79,'集計'!$A$4:$EP$61,30,FALSE)</f>
        <v>27</v>
      </c>
      <c r="I79" s="16">
        <f>VLOOKUP($A$79,'集計'!$A$4:$EP$61,34,FALSE)</f>
        <v>728.2</v>
      </c>
      <c r="J79" s="15">
        <f>VLOOKUP($A$79,'集計'!$A$4:$EP$61,38,FALSE)</f>
        <v>10</v>
      </c>
      <c r="K79" s="16">
        <f>VLOOKUP($A$79,'集計'!$A$4:$EP$61,42,FALSE)</f>
        <v>196.9</v>
      </c>
      <c r="L79" s="15">
        <f>VLOOKUP($A$79,'集計'!$A$4:$EP$61,46,FALSE)</f>
        <v>18</v>
      </c>
      <c r="M79" s="16">
        <f>VLOOKUP($A$79,'集計'!$A$4:$EP$61,50,FALSE)</f>
        <v>640.7</v>
      </c>
      <c r="N79" s="15">
        <f>VLOOKUP($A$79,'集計'!$A$4:$EP$61,54,FALSE)</f>
        <v>5</v>
      </c>
      <c r="O79" s="16">
        <f>VLOOKUP($A$79,'集計'!$A$4:$EP$61,58,FALSE)</f>
        <v>40.93</v>
      </c>
      <c r="P79" s="15">
        <f>VLOOKUP($A$79,'集計'!$A$4:$EP$61,62,FALSE)</f>
        <v>4</v>
      </c>
      <c r="Q79" s="16">
        <f>VLOOKUP($A$79,'集計'!$A$4:$EP$61,66,FALSE)</f>
        <v>576.6</v>
      </c>
      <c r="R79" s="15">
        <f>VLOOKUP($A$79,'集計'!$A$4:$EP$61,70,FALSE)</f>
        <v>560</v>
      </c>
      <c r="S79" s="16">
        <f>VLOOKUP($A$79,'集計'!$A$4:$EP$61,74,FALSE)</f>
        <v>2509.46</v>
      </c>
      <c r="T79" s="32" t="s">
        <v>31</v>
      </c>
      <c r="U79" s="15">
        <f>VLOOKUP($A$79,'集計'!$A$4:$EP$61,78,FALSE)</f>
        <v>408</v>
      </c>
      <c r="V79" s="16">
        <f>VLOOKUP($A$79,'集計'!$A$4:$EP$61,82,FALSE)</f>
        <v>112.4</v>
      </c>
      <c r="W79" s="15">
        <f>VLOOKUP($A$79,'集計'!$A$4:$EP$61,86,FALSE)</f>
        <v>54</v>
      </c>
      <c r="X79" s="16">
        <f>VLOOKUP($A$79,'集計'!$A$4:$EP$61,90,FALSE)</f>
        <v>116.14</v>
      </c>
      <c r="Y79" s="15">
        <f>VLOOKUP($A$79,'集計'!$A$4:$EP$61,94,FALSE)</f>
        <v>11</v>
      </c>
      <c r="Z79" s="16">
        <f>VLOOKUP($A$79,'集計'!$A$4:$EP$61,98,FALSE)</f>
        <v>55.9</v>
      </c>
      <c r="AA79" s="15">
        <f>VLOOKUP($A$79,'集計'!$A$4:$EP$61,102,FALSE)</f>
        <v>26</v>
      </c>
      <c r="AB79" s="16">
        <f>VLOOKUP($A$79,'集計'!$A$4:$EP$61,106,FALSE)</f>
        <v>543.61</v>
      </c>
      <c r="AC79" s="15">
        <f>VLOOKUP($A$79,'集計'!$A$4:$EP$61,110,FALSE)</f>
        <v>10</v>
      </c>
      <c r="AD79" s="16">
        <f>VLOOKUP($A$79,'集計'!$A$4:$EP$61,114,FALSE)</f>
        <v>174.1</v>
      </c>
      <c r="AE79" s="15">
        <f>VLOOKUP($A$79,'集計'!$A$4:$EP$61,118,FALSE)</f>
        <v>18</v>
      </c>
      <c r="AF79" s="16">
        <f>VLOOKUP($A$79,'集計'!$A$4:$EP$61,122,FALSE)</f>
        <v>392.67</v>
      </c>
      <c r="AG79" s="15">
        <f>VLOOKUP($A$79,'集計'!$A$4:$EP$61,126,FALSE)</f>
        <v>5</v>
      </c>
      <c r="AH79" s="16">
        <f>VLOOKUP($A$79,'集計'!$A$4:$EP$61,130,FALSE)</f>
        <v>25.4</v>
      </c>
      <c r="AI79" s="15">
        <f>VLOOKUP($A$79,'集計'!$A$4:$EP$61,134,FALSE)</f>
        <v>4</v>
      </c>
      <c r="AJ79" s="16">
        <f>VLOOKUP($A$79,'集計'!$A$4:$EP$61,138,FALSE)</f>
        <v>209.2</v>
      </c>
      <c r="AK79" s="15">
        <f>VLOOKUP($A$79,'集計'!$A$4:$EP$61,142,FALSE)</f>
        <v>536</v>
      </c>
      <c r="AL79" s="16">
        <f>VLOOKUP($A$79,'集計'!$A$4:$EP$61,146,FALSE)</f>
        <v>1629.42</v>
      </c>
    </row>
    <row r="80" spans="1:38" ht="13.5">
      <c r="A80" s="32" t="s">
        <v>22</v>
      </c>
      <c r="B80" s="15">
        <f>VLOOKUP($A$79,'集計'!$A$4:$EP$61,3,FALSE)</f>
        <v>214</v>
      </c>
      <c r="C80" s="16">
        <f>VLOOKUP($A$79,'集計'!$A$4:$EP$61,7,FALSE)</f>
        <v>59.33</v>
      </c>
      <c r="D80" s="15">
        <f>VLOOKUP($A$79,'集計'!$A$4:$EP$61,11,FALSE)</f>
        <v>25</v>
      </c>
      <c r="E80" s="16">
        <f>VLOOKUP($A$79,'集計'!$A$4:$EP$61,15,FALSE)</f>
        <v>50.4</v>
      </c>
      <c r="F80" s="15">
        <f>VLOOKUP($A$79,'集計'!$A$4:$EP$61,19,FALSE)</f>
        <v>3</v>
      </c>
      <c r="G80" s="16">
        <f>VLOOKUP($A$79,'集計'!$A$4:$EP$61,23,FALSE)</f>
        <v>15.5</v>
      </c>
      <c r="H80" s="15">
        <f>VLOOKUP($A$79,'集計'!$A$4:$EP$61,27,FALSE)</f>
        <v>4</v>
      </c>
      <c r="I80" s="16">
        <f>VLOOKUP($A$79,'集計'!$A$4:$EP$61,31,FALSE)</f>
        <v>109</v>
      </c>
      <c r="J80" s="15">
        <f>VLOOKUP($A$79,'集計'!$A$4:$EP$61,35,FALSE)</f>
        <v>3</v>
      </c>
      <c r="K80" s="16">
        <f>VLOOKUP($A$79,'集計'!$A$4:$EP$61,39,FALSE)</f>
        <v>27.5</v>
      </c>
      <c r="L80" s="15">
        <f>VLOOKUP($A$79,'集計'!$A$4:$EP$61,43,FALSE)</f>
        <v>2</v>
      </c>
      <c r="M80" s="16">
        <f>VLOOKUP($A$79,'集計'!$A$4:$EP$61,47,FALSE)</f>
        <v>25.2</v>
      </c>
      <c r="N80" s="15">
        <f>VLOOKUP($A$79,'集計'!$A$4:$EP$61,51,FALSE)</f>
        <v>1</v>
      </c>
      <c r="O80" s="16">
        <f>VLOOKUP($A$79,'集計'!$A$4:$EP$61,55,FALSE)</f>
        <v>0.13</v>
      </c>
      <c r="P80" s="15">
        <f>VLOOKUP($A$79,'集計'!$A$4:$EP$61,59,FALSE)</f>
        <v>0</v>
      </c>
      <c r="Q80" s="16">
        <f>VLOOKUP($A$79,'集計'!$A$4:$EP$61,63,FALSE)</f>
        <v>0</v>
      </c>
      <c r="R80" s="15">
        <f>VLOOKUP($A$79,'集計'!$A$4:$EP$61,67,FALSE)</f>
        <v>252</v>
      </c>
      <c r="S80" s="16">
        <f>VLOOKUP($A$79,'集計'!$A$4:$EP$61,71,FALSE)</f>
        <v>287.06</v>
      </c>
      <c r="T80" s="32" t="s">
        <v>22</v>
      </c>
      <c r="U80" s="15">
        <f>VLOOKUP($A$79,'集計'!$A$4:$EP$61,75,FALSE)</f>
        <v>206</v>
      </c>
      <c r="V80" s="16">
        <f>VLOOKUP($A$79,'集計'!$A$4:$EP$61,79,FALSE)</f>
        <v>53.13</v>
      </c>
      <c r="W80" s="15">
        <f>VLOOKUP($A$79,'集計'!$A$4:$EP$61,83,FALSE)</f>
        <v>24</v>
      </c>
      <c r="X80" s="16">
        <f>VLOOKUP($A$79,'集計'!$A$4:$EP$61,87,FALSE)</f>
        <v>47.6</v>
      </c>
      <c r="Y80" s="15">
        <f>VLOOKUP($A$79,'集計'!$A$4:$EP$61,91,FALSE)</f>
        <v>3</v>
      </c>
      <c r="Z80" s="16">
        <f>VLOOKUP($A$79,'集計'!$A$4:$EP$61,95,FALSE)</f>
        <v>15.5</v>
      </c>
      <c r="AA80" s="15">
        <f>VLOOKUP($A$79,'集計'!$A$4:$EP$61,99,FALSE)</f>
        <v>4</v>
      </c>
      <c r="AB80" s="16">
        <f>VLOOKUP($A$79,'集計'!$A$4:$EP$61,103,FALSE)</f>
        <v>105.44</v>
      </c>
      <c r="AC80" s="15">
        <f>VLOOKUP($A$79,'集計'!$A$4:$EP$61,107,FALSE)</f>
        <v>3</v>
      </c>
      <c r="AD80" s="16">
        <f>VLOOKUP($A$79,'集計'!$A$4:$EP$61,111,FALSE)</f>
        <v>27.5</v>
      </c>
      <c r="AE80" s="15">
        <f>VLOOKUP($A$79,'集計'!$A$4:$EP$61,115,FALSE)</f>
        <v>2</v>
      </c>
      <c r="AF80" s="16">
        <f>VLOOKUP($A$79,'集計'!$A$4:$EP$61,119,FALSE)</f>
        <v>25.2</v>
      </c>
      <c r="AG80" s="15">
        <f>VLOOKUP($A$79,'集計'!$A$4:$EP$61,123,FALSE)</f>
        <v>1</v>
      </c>
      <c r="AH80" s="16">
        <f>VLOOKUP($A$79,'集計'!$A$4:$EP$61,127,FALSE)</f>
        <v>0.1</v>
      </c>
      <c r="AI80" s="15">
        <f>VLOOKUP($A$79,'集計'!$A$4:$EP$61,131,FALSE)</f>
        <v>0</v>
      </c>
      <c r="AJ80" s="16">
        <f>VLOOKUP($A$79,'集計'!$A$4:$EP$61,135,FALSE)</f>
        <v>0</v>
      </c>
      <c r="AK80" s="15">
        <f>VLOOKUP($A$79,'集計'!$A$4:$EP$61,139,FALSE)</f>
        <v>243</v>
      </c>
      <c r="AL80" s="16">
        <f>VLOOKUP($A$79,'集計'!$A$4:$EP$61,143,FALSE)</f>
        <v>274.47</v>
      </c>
    </row>
    <row r="81" spans="1:38" ht="13.5">
      <c r="A81" s="32" t="s">
        <v>23</v>
      </c>
      <c r="B81" s="15">
        <f>VLOOKUP($A$79,'集計'!$A$4:$EP$61,4,FALSE)</f>
        <v>195</v>
      </c>
      <c r="C81" s="16">
        <f>VLOOKUP($A$79,'集計'!$A$4:$EP$61,8,FALSE)</f>
        <v>56.31</v>
      </c>
      <c r="D81" s="15">
        <f>VLOOKUP($A$79,'集計'!$A$4:$EP$61,(12),FALSE)</f>
        <v>22</v>
      </c>
      <c r="E81" s="16">
        <f>VLOOKUP($A$79,'集計'!$A$4:$EP$61,16,FALSE)</f>
        <v>57</v>
      </c>
      <c r="F81" s="15">
        <f>VLOOKUP($A$79,'集計'!$A$4:$EP$61,20,FALSE)</f>
        <v>3</v>
      </c>
      <c r="G81" s="16">
        <f>VLOOKUP($A$79,'集計'!$A$4:$EP$61,24,FALSE)</f>
        <v>17.3</v>
      </c>
      <c r="H81" s="15">
        <f>VLOOKUP($A$79,'集計'!$A$4:$EP$61,28,FALSE)</f>
        <v>6</v>
      </c>
      <c r="I81" s="16">
        <f>VLOOKUP($A$79,'集計'!$A$4:$EP$61,32,FALSE)</f>
        <v>137.5</v>
      </c>
      <c r="J81" s="15">
        <f>VLOOKUP($A$79,'集計'!$A$4:$EP$61,36,FALSE)</f>
        <v>1</v>
      </c>
      <c r="K81" s="16">
        <f>VLOOKUP($A$79,'集計'!$A$4:$EP$61,40,FALSE)</f>
        <v>18.1</v>
      </c>
      <c r="L81" s="15">
        <f>VLOOKUP($A$79,'集計'!$A$4:$EP$61,44,FALSE)</f>
        <v>3</v>
      </c>
      <c r="M81" s="16">
        <f>VLOOKUP($A$79,'集計'!$A$4:$EP$61,48,FALSE)</f>
        <v>51.6</v>
      </c>
      <c r="N81" s="15">
        <f>VLOOKUP($A$79,'集計'!$A$4:$EP$61,52,FALSE)</f>
        <v>0</v>
      </c>
      <c r="O81" s="16">
        <f>VLOOKUP($A$79,'集計'!$A$4:$EP$61,56,FALSE)</f>
        <v>0</v>
      </c>
      <c r="P81" s="15">
        <f>VLOOKUP($A$79,'集計'!$A$4:$EP$61,60,FALSE)</f>
        <v>0</v>
      </c>
      <c r="Q81" s="16">
        <f>VLOOKUP($A$79,'集計'!$A$4:$EP$61,64,FALSE)</f>
        <v>0</v>
      </c>
      <c r="R81" s="15">
        <f>VLOOKUP($A$79,'集計'!$A$4:$EP$61,68,FALSE)</f>
        <v>230</v>
      </c>
      <c r="S81" s="16">
        <f>VLOOKUP($A$79,'集計'!$A$4:$EP$61,72,FALSE)</f>
        <v>337.81</v>
      </c>
      <c r="T81" s="32" t="s">
        <v>23</v>
      </c>
      <c r="U81" s="15">
        <f>VLOOKUP($A$79,'集計'!$A$4:$EP$61,76,FALSE)</f>
        <v>185</v>
      </c>
      <c r="V81" s="16">
        <f>VLOOKUP($A$79,'集計'!$A$4:$EP$61,80,FALSE)</f>
        <v>54.01</v>
      </c>
      <c r="W81" s="15">
        <f>VLOOKUP($A$79,'集計'!$A$4:$EP$61,84,FALSE)</f>
        <v>21</v>
      </c>
      <c r="X81" s="16">
        <f>VLOOKUP($A$79,'集計'!$A$4:$EP$61,88,FALSE)</f>
        <v>48.24</v>
      </c>
      <c r="Y81" s="15">
        <f>VLOOKUP($A$79,'集計'!$A$4:$EP$61,92,FALSE)</f>
        <v>3</v>
      </c>
      <c r="Z81" s="16">
        <f>VLOOKUP($A$79,'集計'!$A$4:$EP$61,96,FALSE)</f>
        <v>14.7</v>
      </c>
      <c r="AA81" s="15">
        <f>VLOOKUP($A$79,'集計'!$A$4:$EP$61,100,FALSE)</f>
        <v>6</v>
      </c>
      <c r="AB81" s="16">
        <f>VLOOKUP($A$79,'集計'!$A$4:$EP$61,104,FALSE)</f>
        <v>137.5</v>
      </c>
      <c r="AC81" s="15">
        <f>VLOOKUP($A$79,'集計'!$A$4:$EP$61,108,FALSE)</f>
        <v>1</v>
      </c>
      <c r="AD81" s="16">
        <f>VLOOKUP($A$79,'集計'!$A$4:$EP$61,112,FALSE)</f>
        <v>18.1</v>
      </c>
      <c r="AE81" s="15">
        <f>VLOOKUP($A$79,'集計'!$A$4:$EP$61,116,FALSE)</f>
        <v>3</v>
      </c>
      <c r="AF81" s="16">
        <f>VLOOKUP($A$79,'集計'!$A$4:$EP$61,120,FALSE)</f>
        <v>51.6</v>
      </c>
      <c r="AG81" s="15">
        <f>VLOOKUP($A$79,'集計'!$A$4:$EP$61,124,FALSE)</f>
        <v>0</v>
      </c>
      <c r="AH81" s="16">
        <f>VLOOKUP($A$79,'集計'!$A$4:$EP$61,128,FALSE)</f>
        <v>0</v>
      </c>
      <c r="AI81" s="15">
        <f>VLOOKUP($A$79,'集計'!$A$4:$EP$61,132,FALSE)</f>
        <v>0</v>
      </c>
      <c r="AJ81" s="16">
        <f>VLOOKUP($A$79,'集計'!$A$4:$EP$61,136,FALSE)</f>
        <v>0</v>
      </c>
      <c r="AK81" s="15">
        <f>VLOOKUP($A$79,'集計'!$A$4:$EP$61,140,FALSE)</f>
        <v>219</v>
      </c>
      <c r="AL81" s="16">
        <f>VLOOKUP($A$79,'集計'!$A$4:$EP$61,144,FALSE)</f>
        <v>324.15</v>
      </c>
    </row>
    <row r="82" spans="1:38" ht="13.5">
      <c r="A82" s="32" t="s">
        <v>24</v>
      </c>
      <c r="B82" s="15">
        <f>VLOOKUP($A$79,'集計'!$A$4:$EP$61,5,FALSE)</f>
        <v>17</v>
      </c>
      <c r="C82" s="16">
        <f>VLOOKUP($A$79,'集計'!$A$4:$EP$61,9,FALSE)</f>
        <v>5.79</v>
      </c>
      <c r="D82" s="15">
        <f>VLOOKUP($A$79,'集計'!$A$4:$EP$61,13,FALSE)</f>
        <v>11</v>
      </c>
      <c r="E82" s="16">
        <f>VLOOKUP($A$79,'集計'!$A$4:$EP$61,17,FALSE)</f>
        <v>30.1</v>
      </c>
      <c r="F82" s="15">
        <f>VLOOKUP($A$79,'集計'!$A$4:$EP$61,21,FALSE)</f>
        <v>6</v>
      </c>
      <c r="G82" s="16">
        <f>VLOOKUP($A$79,'集計'!$A$4:$EP$61,25,FALSE)</f>
        <v>34.4</v>
      </c>
      <c r="H82" s="15">
        <f>VLOOKUP($A$79,'集計'!$A$4:$EP$61,29,FALSE)</f>
        <v>17</v>
      </c>
      <c r="I82" s="16">
        <f>VLOOKUP($A$79,'集計'!$A$4:$EP$61,33,FALSE)</f>
        <v>481.7</v>
      </c>
      <c r="J82" s="15">
        <f>VLOOKUP($A$79,'集計'!$A$4:$EP$61,37,FALSE)</f>
        <v>6</v>
      </c>
      <c r="K82" s="16">
        <f>VLOOKUP($A$79,'集計'!$A$4:$EP$61,41,FALSE)</f>
        <v>151.3</v>
      </c>
      <c r="L82" s="15">
        <f>VLOOKUP($A$79,'集計'!$A$4:$EP$61,45,FALSE)</f>
        <v>13</v>
      </c>
      <c r="M82" s="16">
        <f>VLOOKUP($A$79,'集計'!$A$4:$EP$61,49,FALSE)</f>
        <v>563.9</v>
      </c>
      <c r="N82" s="15">
        <f>VLOOKUP($A$79,'集計'!$A$4:$EP$61,53,FALSE)</f>
        <v>4</v>
      </c>
      <c r="O82" s="16">
        <f>VLOOKUP($A$79,'集計'!$A$4:$EP$61,57,FALSE)</f>
        <v>40.8</v>
      </c>
      <c r="P82" s="15">
        <f>VLOOKUP($A$79,'集計'!$A$4:$EP$61,61,FALSE)</f>
        <v>4</v>
      </c>
      <c r="Q82" s="16">
        <f>VLOOKUP($A$79,'集計'!$A$4:$EP$61,65,FALSE)</f>
        <v>576.6</v>
      </c>
      <c r="R82" s="15">
        <f>VLOOKUP($A$79,'集計'!$A$4:$EP$61,69,FALSE)</f>
        <v>78</v>
      </c>
      <c r="S82" s="16">
        <f>VLOOKUP($A$79,'集計'!$A$4:$EP$61,73,FALSE)</f>
        <v>1884.59</v>
      </c>
      <c r="T82" s="32" t="s">
        <v>24</v>
      </c>
      <c r="U82" s="15">
        <f>VLOOKUP($A$79,'集計'!$A$4:$EP$61,77,FALSE)</f>
        <v>17</v>
      </c>
      <c r="V82" s="16">
        <f>VLOOKUP($A$79,'集計'!$A$4:$EP$61,81,FALSE)</f>
        <v>5.26</v>
      </c>
      <c r="W82" s="15">
        <f>VLOOKUP($A$79,'集計'!$A$4:$EP$61,85,FALSE)</f>
        <v>9</v>
      </c>
      <c r="X82" s="16">
        <f>VLOOKUP($A$79,'集計'!$A$4:$EP$61,89,FALSE)</f>
        <v>20.3</v>
      </c>
      <c r="Y82" s="15">
        <f>VLOOKUP($A$79,'集計'!$A$4:$EP$61,93,FALSE)</f>
        <v>5</v>
      </c>
      <c r="Z82" s="16">
        <f>VLOOKUP($A$79,'集計'!$A$4:$EP$61,97,FALSE)</f>
        <v>25.7</v>
      </c>
      <c r="AA82" s="15">
        <f>VLOOKUP($A$79,'集計'!$A$4:$EP$61,101,FALSE)</f>
        <v>16</v>
      </c>
      <c r="AB82" s="16">
        <f>VLOOKUP($A$79,'集計'!$A$4:$EP$61,105,FALSE)</f>
        <v>300.67</v>
      </c>
      <c r="AC82" s="15">
        <f>VLOOKUP($A$79,'集計'!$A$4:$EP$61,109,FALSE)</f>
        <v>6</v>
      </c>
      <c r="AD82" s="16">
        <f>VLOOKUP($A$79,'集計'!$A$4:$EP$61,113,FALSE)</f>
        <v>128.5</v>
      </c>
      <c r="AE82" s="15">
        <f>VLOOKUP($A$79,'集計'!$A$4:$EP$61,117,FALSE)</f>
        <v>13</v>
      </c>
      <c r="AF82" s="16">
        <f>VLOOKUP($A$79,'集計'!$A$4:$EP$61,121,FALSE)</f>
        <v>315.87</v>
      </c>
      <c r="AG82" s="15">
        <f>VLOOKUP($A$79,'集計'!$A$4:$EP$61,125,FALSE)</f>
        <v>4</v>
      </c>
      <c r="AH82" s="16">
        <f>VLOOKUP($A$79,'集計'!$A$4:$EP$61,129,FALSE)</f>
        <v>25.3</v>
      </c>
      <c r="AI82" s="15">
        <f>VLOOKUP($A$79,'集計'!$A$4:$EP$61,133,FALSE)</f>
        <v>4</v>
      </c>
      <c r="AJ82" s="16">
        <f>VLOOKUP($A$79,'集計'!$A$4:$EP$61,137,FALSE)</f>
        <v>209.2</v>
      </c>
      <c r="AK82" s="15">
        <f>VLOOKUP($A$79,'集計'!$A$4:$EP$61,141,FALSE)</f>
        <v>74</v>
      </c>
      <c r="AL82" s="16">
        <f>VLOOKUP($A$79,'集計'!$A$4:$EP$61,145,FALSE)</f>
        <v>1030.8</v>
      </c>
    </row>
    <row r="83" spans="1:38" ht="13.5">
      <c r="A83" s="32"/>
      <c r="B83" s="19"/>
      <c r="C83" s="20"/>
      <c r="D83" s="19"/>
      <c r="E83" s="20"/>
      <c r="F83" s="19"/>
      <c r="G83" s="20"/>
      <c r="H83" s="19"/>
      <c r="I83" s="20"/>
      <c r="J83" s="19"/>
      <c r="K83" s="20"/>
      <c r="L83" s="19"/>
      <c r="M83" s="20"/>
      <c r="N83" s="19"/>
      <c r="O83" s="20"/>
      <c r="P83" s="19"/>
      <c r="Q83" s="20"/>
      <c r="R83" s="19"/>
      <c r="S83" s="20"/>
      <c r="T83" s="32"/>
      <c r="U83" s="19"/>
      <c r="V83" s="20"/>
      <c r="W83" s="19"/>
      <c r="X83" s="20"/>
      <c r="Y83" s="19"/>
      <c r="Z83" s="20"/>
      <c r="AA83" s="19"/>
      <c r="AB83" s="20"/>
      <c r="AC83" s="19"/>
      <c r="AD83" s="20"/>
      <c r="AE83" s="19"/>
      <c r="AF83" s="20"/>
      <c r="AG83" s="19"/>
      <c r="AH83" s="20"/>
      <c r="AI83" s="19"/>
      <c r="AJ83" s="20"/>
      <c r="AK83" s="19"/>
      <c r="AL83" s="20"/>
    </row>
    <row r="84" spans="1:38" ht="13.5">
      <c r="A84" s="32" t="s">
        <v>32</v>
      </c>
      <c r="B84" s="15">
        <f>VLOOKUP($A$84,'集計'!$A$4:$EP$61,6,FALSE)</f>
        <v>441</v>
      </c>
      <c r="C84" s="16">
        <f>VLOOKUP($A$84,'集計'!$A$4:$EP$61,10,FALSE)</f>
        <v>123.69</v>
      </c>
      <c r="D84" s="15">
        <f>VLOOKUP($A$84,'集計'!$A$4:$EP$61,14,FALSE)</f>
        <v>87</v>
      </c>
      <c r="E84" s="16">
        <f>VLOOKUP($A$84,'集計'!$A$4:$EP$61,18,FALSE)</f>
        <v>203</v>
      </c>
      <c r="F84" s="15">
        <f>VLOOKUP($A$84,'集計'!$A$4:$EP$61,22,FALSE)</f>
        <v>19</v>
      </c>
      <c r="G84" s="16">
        <f>VLOOKUP($A$84,'集計'!$A$4:$EP$61,26,FALSE)</f>
        <v>112.4</v>
      </c>
      <c r="H84" s="15">
        <f>VLOOKUP($A$84,'集計'!$A$4:$EP$61,30,FALSE)</f>
        <v>19</v>
      </c>
      <c r="I84" s="16">
        <f>VLOOKUP($A$84,'集計'!$A$4:$EP$61,34,FALSE)</f>
        <v>419.8</v>
      </c>
      <c r="J84" s="15">
        <f>VLOOKUP($A$84,'集計'!$A$4:$EP$61,38,FALSE)</f>
        <v>29</v>
      </c>
      <c r="K84" s="16">
        <f>VLOOKUP($A$84,'集計'!$A$4:$EP$61,42,FALSE)</f>
        <v>436.5</v>
      </c>
      <c r="L84" s="15">
        <f>VLOOKUP($A$84,'集計'!$A$4:$EP$61,46,FALSE)</f>
        <v>5</v>
      </c>
      <c r="M84" s="16">
        <f>VLOOKUP($A$84,'集計'!$A$4:$EP$61,50,FALSE)</f>
        <v>74.5</v>
      </c>
      <c r="N84" s="15">
        <f>VLOOKUP($A$84,'集計'!$A$4:$EP$61,54,FALSE)</f>
        <v>7</v>
      </c>
      <c r="O84" s="16">
        <f>VLOOKUP($A$84,'集計'!$A$4:$EP$61,58,FALSE)</f>
        <v>35</v>
      </c>
      <c r="P84" s="15">
        <f>VLOOKUP($A$84,'集計'!$A$4:$EP$61,62,FALSE)</f>
        <v>7</v>
      </c>
      <c r="Q84" s="16">
        <f>VLOOKUP($A$84,'集計'!$A$4:$EP$61,66,FALSE)</f>
        <v>741.8</v>
      </c>
      <c r="R84" s="15">
        <f>VLOOKUP($A$84,'集計'!$A$4:$EP$61,70,FALSE)</f>
        <v>614</v>
      </c>
      <c r="S84" s="16">
        <f>VLOOKUP($A$84,'集計'!$A$4:$EP$61,74,FALSE)</f>
        <v>2146.69</v>
      </c>
      <c r="T84" s="32" t="s">
        <v>32</v>
      </c>
      <c r="U84" s="15">
        <f>VLOOKUP($A$84,'集計'!$A$4:$EP$61,78,FALSE)</f>
        <v>414</v>
      </c>
      <c r="V84" s="16">
        <f>VLOOKUP($A$84,'集計'!$A$4:$EP$61,82,FALSE)</f>
        <v>115.18</v>
      </c>
      <c r="W84" s="15">
        <f>VLOOKUP($A$84,'集計'!$A$4:$EP$61,86,FALSE)</f>
        <v>79</v>
      </c>
      <c r="X84" s="16">
        <f>VLOOKUP($A$84,'集計'!$A$4:$EP$61,90,FALSE)</f>
        <v>178</v>
      </c>
      <c r="Y84" s="15">
        <f>VLOOKUP($A$84,'集計'!$A$4:$EP$61,94,FALSE)</f>
        <v>18</v>
      </c>
      <c r="Z84" s="16">
        <f>VLOOKUP($A$84,'集計'!$A$4:$EP$61,98,FALSE)</f>
        <v>102.2</v>
      </c>
      <c r="AA84" s="15">
        <f>VLOOKUP($A$84,'集計'!$A$4:$EP$61,102,FALSE)</f>
        <v>16</v>
      </c>
      <c r="AB84" s="16">
        <f>VLOOKUP($A$84,'集計'!$A$4:$EP$61,106,FALSE)</f>
        <v>328</v>
      </c>
      <c r="AC84" s="15">
        <f>VLOOKUP($A$84,'集計'!$A$4:$EP$61,110,FALSE)</f>
        <v>27</v>
      </c>
      <c r="AD84" s="16">
        <f>VLOOKUP($A$84,'集計'!$A$4:$EP$61,114,FALSE)</f>
        <v>343.9</v>
      </c>
      <c r="AE84" s="15">
        <f>VLOOKUP($A$84,'集計'!$A$4:$EP$61,118,FALSE)</f>
        <v>5</v>
      </c>
      <c r="AF84" s="16">
        <f>VLOOKUP($A$84,'集計'!$A$4:$EP$61,122,FALSE)</f>
        <v>72</v>
      </c>
      <c r="AG84" s="15">
        <f>VLOOKUP($A$84,'集計'!$A$4:$EP$61,126,FALSE)</f>
        <v>6</v>
      </c>
      <c r="AH84" s="16">
        <f>VLOOKUP($A$84,'集計'!$A$4:$EP$61,130,FALSE)</f>
        <v>17.1</v>
      </c>
      <c r="AI84" s="15">
        <f>VLOOKUP($A$84,'集計'!$A$4:$EP$61,134,FALSE)</f>
        <v>7</v>
      </c>
      <c r="AJ84" s="16">
        <f>VLOOKUP($A$84,'集計'!$A$4:$EP$61,138,FALSE)</f>
        <v>424</v>
      </c>
      <c r="AK84" s="15">
        <f>VLOOKUP($A$84,'集計'!$A$4:$EP$61,142,FALSE)</f>
        <v>572</v>
      </c>
      <c r="AL84" s="16">
        <f>VLOOKUP($A$84,'集計'!$A$4:$EP$61,146,FALSE)</f>
        <v>1580.38</v>
      </c>
    </row>
    <row r="85" spans="1:38" ht="13.5">
      <c r="A85" s="32" t="s">
        <v>22</v>
      </c>
      <c r="B85" s="15">
        <f>VLOOKUP($A$84,'集計'!$A$4:$EP$61,3,FALSE)</f>
        <v>257</v>
      </c>
      <c r="C85" s="16">
        <f>VLOOKUP($A$84,'集計'!$A$4:$EP$61,7,FALSE)</f>
        <v>72.33</v>
      </c>
      <c r="D85" s="15">
        <f>VLOOKUP($A$84,'集計'!$A$4:$EP$61,11,FALSE)</f>
        <v>39</v>
      </c>
      <c r="E85" s="16">
        <f>VLOOKUP($A$84,'集計'!$A$4:$EP$61,15,FALSE)</f>
        <v>86</v>
      </c>
      <c r="F85" s="15">
        <f>VLOOKUP($A$84,'集計'!$A$4:$EP$61,19,FALSE)</f>
        <v>2</v>
      </c>
      <c r="G85" s="16">
        <f>VLOOKUP($A$84,'集計'!$A$4:$EP$61,23,FALSE)</f>
        <v>13.9</v>
      </c>
      <c r="H85" s="15">
        <f>VLOOKUP($A$84,'集計'!$A$4:$EP$61,27,FALSE)</f>
        <v>3</v>
      </c>
      <c r="I85" s="16">
        <f>VLOOKUP($A$84,'集計'!$A$4:$EP$61,31,FALSE)</f>
        <v>126.4</v>
      </c>
      <c r="J85" s="15">
        <f>VLOOKUP($A$84,'集計'!$A$4:$EP$61,35,FALSE)</f>
        <v>4</v>
      </c>
      <c r="K85" s="16">
        <f>VLOOKUP($A$84,'集計'!$A$4:$EP$61,39,FALSE)</f>
        <v>42.6</v>
      </c>
      <c r="L85" s="15">
        <f>VLOOKUP($A$84,'集計'!$A$4:$EP$61,43,FALSE)</f>
        <v>1</v>
      </c>
      <c r="M85" s="16">
        <f>VLOOKUP($A$84,'集計'!$A$4:$EP$61,47,FALSE)</f>
        <v>4.8</v>
      </c>
      <c r="N85" s="15">
        <f>VLOOKUP($A$84,'集計'!$A$4:$EP$61,51,FALSE)</f>
        <v>1</v>
      </c>
      <c r="O85" s="16">
        <f>VLOOKUP($A$84,'集計'!$A$4:$EP$61,55,FALSE)</f>
        <v>3.1</v>
      </c>
      <c r="P85" s="15">
        <f>VLOOKUP($A$84,'集計'!$A$4:$EP$61,59,FALSE)</f>
        <v>1</v>
      </c>
      <c r="Q85" s="16">
        <f>VLOOKUP($A$84,'集計'!$A$4:$EP$61,63,FALSE)</f>
        <v>63.8</v>
      </c>
      <c r="R85" s="15">
        <f>VLOOKUP($A$84,'集計'!$A$4:$EP$61,67,FALSE)</f>
        <v>308</v>
      </c>
      <c r="S85" s="16">
        <f>VLOOKUP($A$84,'集計'!$A$4:$EP$61,71,FALSE)</f>
        <v>412.93</v>
      </c>
      <c r="T85" s="32" t="s">
        <v>22</v>
      </c>
      <c r="U85" s="15">
        <f>VLOOKUP($A$84,'集計'!$A$4:$EP$61,75,FALSE)</f>
        <v>246</v>
      </c>
      <c r="V85" s="16">
        <f>VLOOKUP($A$84,'集計'!$A$4:$EP$61,79,FALSE)</f>
        <v>68.35</v>
      </c>
      <c r="W85" s="15">
        <f>VLOOKUP($A$84,'集計'!$A$4:$EP$61,83,FALSE)</f>
        <v>38</v>
      </c>
      <c r="X85" s="16">
        <f>VLOOKUP($A$84,'集計'!$A$4:$EP$61,87,FALSE)</f>
        <v>89</v>
      </c>
      <c r="Y85" s="15">
        <f>VLOOKUP($A$84,'集計'!$A$4:$EP$61,91,FALSE)</f>
        <v>2</v>
      </c>
      <c r="Z85" s="16">
        <f>VLOOKUP($A$84,'集計'!$A$4:$EP$61,95,FALSE)</f>
        <v>13.9</v>
      </c>
      <c r="AA85" s="15">
        <f>VLOOKUP($A$84,'集計'!$A$4:$EP$61,99,FALSE)</f>
        <v>3</v>
      </c>
      <c r="AB85" s="16">
        <f>VLOOKUP($A$84,'集計'!$A$4:$EP$61,103,FALSE)</f>
        <v>103.6</v>
      </c>
      <c r="AC85" s="15">
        <f>VLOOKUP($A$84,'集計'!$A$4:$EP$61,107,FALSE)</f>
        <v>4</v>
      </c>
      <c r="AD85" s="16">
        <f>VLOOKUP($A$84,'集計'!$A$4:$EP$61,111,FALSE)</f>
        <v>39</v>
      </c>
      <c r="AE85" s="15">
        <f>VLOOKUP($A$84,'集計'!$A$4:$EP$61,115,FALSE)</f>
        <v>1</v>
      </c>
      <c r="AF85" s="16">
        <f>VLOOKUP($A$84,'集計'!$A$4:$EP$61,119,FALSE)</f>
        <v>4.8</v>
      </c>
      <c r="AG85" s="15">
        <f>VLOOKUP($A$84,'集計'!$A$4:$EP$61,123,FALSE)</f>
        <v>1</v>
      </c>
      <c r="AH85" s="16">
        <f>VLOOKUP($A$84,'集計'!$A$4:$EP$61,127,FALSE)</f>
        <v>3.1</v>
      </c>
      <c r="AI85" s="15">
        <f>VLOOKUP($A$84,'集計'!$A$4:$EP$61,131,FALSE)</f>
        <v>1</v>
      </c>
      <c r="AJ85" s="16">
        <f>VLOOKUP($A$84,'集計'!$A$4:$EP$61,135,FALSE)</f>
        <v>58</v>
      </c>
      <c r="AK85" s="15">
        <f>VLOOKUP($A$84,'集計'!$A$4:$EP$61,139,FALSE)</f>
        <v>296</v>
      </c>
      <c r="AL85" s="16">
        <f>VLOOKUP($A$84,'集計'!$A$4:$EP$61,143,FALSE)</f>
        <v>379.75</v>
      </c>
    </row>
    <row r="86" spans="1:38" ht="13.5">
      <c r="A86" s="32" t="s">
        <v>23</v>
      </c>
      <c r="B86" s="15">
        <f>VLOOKUP($A$84,'集計'!$A$4:$EP$61,4,FALSE)</f>
        <v>165</v>
      </c>
      <c r="C86" s="16">
        <f>VLOOKUP($A$84,'集計'!$A$4:$EP$61,8,FALSE)</f>
        <v>47.68</v>
      </c>
      <c r="D86" s="15">
        <f>VLOOKUP($A$84,'集計'!$A$4:$EP$61,(12),FALSE)</f>
        <v>41</v>
      </c>
      <c r="E86" s="16">
        <f>VLOOKUP($A$84,'集計'!$A$4:$EP$61,16,FALSE)</f>
        <v>103.2</v>
      </c>
      <c r="F86" s="15">
        <f>VLOOKUP($A$84,'集計'!$A$4:$EP$61,20,FALSE)</f>
        <v>9</v>
      </c>
      <c r="G86" s="16">
        <f>VLOOKUP($A$84,'集計'!$A$4:$EP$61,24,FALSE)</f>
        <v>55.6</v>
      </c>
      <c r="H86" s="15">
        <f>VLOOKUP($A$84,'集計'!$A$4:$EP$61,28,FALSE)</f>
        <v>3</v>
      </c>
      <c r="I86" s="16">
        <f>VLOOKUP($A$84,'集計'!$A$4:$EP$61,32,FALSE)</f>
        <v>57.9</v>
      </c>
      <c r="J86" s="15">
        <f>VLOOKUP($A$84,'集計'!$A$4:$EP$61,36,FALSE)</f>
        <v>6</v>
      </c>
      <c r="K86" s="16">
        <f>VLOOKUP($A$84,'集計'!$A$4:$EP$61,40,FALSE)</f>
        <v>82</v>
      </c>
      <c r="L86" s="15">
        <f>VLOOKUP($A$84,'集計'!$A$4:$EP$61,44,FALSE)</f>
        <v>1</v>
      </c>
      <c r="M86" s="16">
        <f>VLOOKUP($A$84,'集計'!$A$4:$EP$61,48,FALSE)</f>
        <v>16</v>
      </c>
      <c r="N86" s="15">
        <f>VLOOKUP($A$84,'集計'!$A$4:$EP$61,52,FALSE)</f>
        <v>3</v>
      </c>
      <c r="O86" s="16">
        <f>VLOOKUP($A$84,'集計'!$A$4:$EP$61,56,FALSE)</f>
        <v>13.9</v>
      </c>
      <c r="P86" s="15">
        <f>VLOOKUP($A$84,'集計'!$A$4:$EP$61,60,FALSE)</f>
        <v>0</v>
      </c>
      <c r="Q86" s="16">
        <f>VLOOKUP($A$84,'集計'!$A$4:$EP$61,64,FALSE)</f>
        <v>0</v>
      </c>
      <c r="R86" s="15">
        <f>VLOOKUP($A$84,'集計'!$A$4:$EP$61,68,FALSE)</f>
        <v>228</v>
      </c>
      <c r="S86" s="16">
        <f>VLOOKUP($A$84,'集計'!$A$4:$EP$61,72,FALSE)</f>
        <v>376.28</v>
      </c>
      <c r="T86" s="32" t="s">
        <v>23</v>
      </c>
      <c r="U86" s="15">
        <f>VLOOKUP($A$84,'集計'!$A$4:$EP$61,76,FALSE)</f>
        <v>147</v>
      </c>
      <c r="V86" s="16">
        <f>VLOOKUP($A$84,'集計'!$A$4:$EP$61,80,FALSE)</f>
        <v>42.71</v>
      </c>
      <c r="W86" s="15">
        <f>VLOOKUP($A$84,'集計'!$A$4:$EP$61,84,FALSE)</f>
        <v>34</v>
      </c>
      <c r="X86" s="16">
        <f>VLOOKUP($A$84,'集計'!$A$4:$EP$61,88,FALSE)</f>
        <v>79.5</v>
      </c>
      <c r="Y86" s="15">
        <f>VLOOKUP($A$84,'集計'!$A$4:$EP$61,92,FALSE)</f>
        <v>8</v>
      </c>
      <c r="Z86" s="16">
        <f>VLOOKUP($A$84,'集計'!$A$4:$EP$61,96,FALSE)</f>
        <v>45.9</v>
      </c>
      <c r="AA86" s="15">
        <f>VLOOKUP($A$84,'集計'!$A$4:$EP$61,100,FALSE)</f>
        <v>2</v>
      </c>
      <c r="AB86" s="16">
        <f>VLOOKUP($A$84,'集計'!$A$4:$EP$61,104,FALSE)</f>
        <v>55</v>
      </c>
      <c r="AC86" s="15">
        <f>VLOOKUP($A$84,'集計'!$A$4:$EP$61,108,FALSE)</f>
        <v>6</v>
      </c>
      <c r="AD86" s="16">
        <f>VLOOKUP($A$84,'集計'!$A$4:$EP$61,112,FALSE)</f>
        <v>76</v>
      </c>
      <c r="AE86" s="15">
        <f>VLOOKUP($A$84,'集計'!$A$4:$EP$61,116,FALSE)</f>
        <v>1</v>
      </c>
      <c r="AF86" s="16">
        <f>VLOOKUP($A$84,'集計'!$A$4:$EP$61,120,FALSE)</f>
        <v>16</v>
      </c>
      <c r="AG86" s="15">
        <f>VLOOKUP($A$84,'集計'!$A$4:$EP$61,124,FALSE)</f>
        <v>2</v>
      </c>
      <c r="AH86" s="16">
        <f>VLOOKUP($A$84,'集計'!$A$4:$EP$61,128,FALSE)</f>
        <v>4.7</v>
      </c>
      <c r="AI86" s="15">
        <f>VLOOKUP($A$84,'集計'!$A$4:$EP$61,132,FALSE)</f>
        <v>0</v>
      </c>
      <c r="AJ86" s="16">
        <f>VLOOKUP($A$84,'集計'!$A$4:$EP$61,136,FALSE)</f>
        <v>0</v>
      </c>
      <c r="AK86" s="15">
        <f>VLOOKUP($A$84,'集計'!$A$4:$EP$61,140,FALSE)</f>
        <v>200</v>
      </c>
      <c r="AL86" s="16">
        <f>VLOOKUP($A$84,'集計'!$A$4:$EP$61,144,FALSE)</f>
        <v>319.81</v>
      </c>
    </row>
    <row r="87" spans="1:38" ht="13.5">
      <c r="A87" s="32" t="s">
        <v>24</v>
      </c>
      <c r="B87" s="15">
        <f>VLOOKUP($A$84,'集計'!$A$4:$EP$61,5,FALSE)</f>
        <v>19</v>
      </c>
      <c r="C87" s="16">
        <f>VLOOKUP($A$84,'集計'!$A$4:$EP$61,9,FALSE)</f>
        <v>3.68</v>
      </c>
      <c r="D87" s="15">
        <f>VLOOKUP($A$84,'集計'!$A$4:$EP$61,13,FALSE)</f>
        <v>7</v>
      </c>
      <c r="E87" s="16">
        <f>VLOOKUP($A$84,'集計'!$A$4:$EP$61,17,FALSE)</f>
        <v>13.8</v>
      </c>
      <c r="F87" s="15">
        <f>VLOOKUP($A$84,'集計'!$A$4:$EP$61,21,FALSE)</f>
        <v>8</v>
      </c>
      <c r="G87" s="16">
        <f>VLOOKUP($A$84,'集計'!$A$4:$EP$61,25,FALSE)</f>
        <v>42.9</v>
      </c>
      <c r="H87" s="15">
        <f>VLOOKUP($A$84,'集計'!$A$4:$EP$61,29,FALSE)</f>
        <v>13</v>
      </c>
      <c r="I87" s="16">
        <f>VLOOKUP($A$84,'集計'!$A$4:$EP$61,33,FALSE)</f>
        <v>235.5</v>
      </c>
      <c r="J87" s="15">
        <f>VLOOKUP($A$84,'集計'!$A$4:$EP$61,37,FALSE)</f>
        <v>19</v>
      </c>
      <c r="K87" s="16">
        <f>VLOOKUP($A$84,'集計'!$A$4:$EP$61,41,FALSE)</f>
        <v>311.9</v>
      </c>
      <c r="L87" s="15">
        <f>VLOOKUP($A$84,'集計'!$A$4:$EP$61,45,FALSE)</f>
        <v>3</v>
      </c>
      <c r="M87" s="16">
        <f>VLOOKUP($A$84,'集計'!$A$4:$EP$61,49,FALSE)</f>
        <v>53.7</v>
      </c>
      <c r="N87" s="15">
        <f>VLOOKUP($A$84,'集計'!$A$4:$EP$61,53,FALSE)</f>
        <v>3</v>
      </c>
      <c r="O87" s="16">
        <f>VLOOKUP($A$84,'集計'!$A$4:$EP$61,57,FALSE)</f>
        <v>18</v>
      </c>
      <c r="P87" s="15">
        <f>VLOOKUP($A$84,'集計'!$A$4:$EP$61,61,FALSE)</f>
        <v>6</v>
      </c>
      <c r="Q87" s="16">
        <f>VLOOKUP($A$84,'集計'!$A$4:$EP$61,65,FALSE)</f>
        <v>678</v>
      </c>
      <c r="R87" s="15">
        <f>VLOOKUP($A$84,'集計'!$A$4:$EP$61,69,FALSE)</f>
        <v>78</v>
      </c>
      <c r="S87" s="16">
        <f>VLOOKUP($A$84,'集計'!$A$4:$EP$61,73,FALSE)</f>
        <v>1357.48</v>
      </c>
      <c r="T87" s="32" t="s">
        <v>24</v>
      </c>
      <c r="U87" s="15">
        <f>VLOOKUP($A$84,'集計'!$A$4:$EP$61,77,FALSE)</f>
        <v>21</v>
      </c>
      <c r="V87" s="16">
        <f>VLOOKUP($A$84,'集計'!$A$4:$EP$61,81,FALSE)</f>
        <v>4.12</v>
      </c>
      <c r="W87" s="15">
        <f>VLOOKUP($A$84,'集計'!$A$4:$EP$61,85,FALSE)</f>
        <v>7</v>
      </c>
      <c r="X87" s="16">
        <f>VLOOKUP($A$84,'集計'!$A$4:$EP$61,89,FALSE)</f>
        <v>9.5</v>
      </c>
      <c r="Y87" s="15">
        <f>VLOOKUP($A$84,'集計'!$A$4:$EP$61,93,FALSE)</f>
        <v>8</v>
      </c>
      <c r="Z87" s="16">
        <f>VLOOKUP($A$84,'集計'!$A$4:$EP$61,97,FALSE)</f>
        <v>42.4</v>
      </c>
      <c r="AA87" s="15">
        <f>VLOOKUP($A$84,'集計'!$A$4:$EP$61,101,FALSE)</f>
        <v>11</v>
      </c>
      <c r="AB87" s="16">
        <f>VLOOKUP($A$84,'集計'!$A$4:$EP$61,105,FALSE)</f>
        <v>169.4</v>
      </c>
      <c r="AC87" s="15">
        <f>VLOOKUP($A$84,'集計'!$A$4:$EP$61,109,FALSE)</f>
        <v>17</v>
      </c>
      <c r="AD87" s="16">
        <f>VLOOKUP($A$84,'集計'!$A$4:$EP$61,113,FALSE)</f>
        <v>228.9</v>
      </c>
      <c r="AE87" s="15">
        <f>VLOOKUP($A$84,'集計'!$A$4:$EP$61,117,FALSE)</f>
        <v>3</v>
      </c>
      <c r="AF87" s="16">
        <f>VLOOKUP($A$84,'集計'!$A$4:$EP$61,121,FALSE)</f>
        <v>51.2</v>
      </c>
      <c r="AG87" s="15">
        <f>VLOOKUP($A$84,'集計'!$A$4:$EP$61,125,FALSE)</f>
        <v>3</v>
      </c>
      <c r="AH87" s="16">
        <f>VLOOKUP($A$84,'集計'!$A$4:$EP$61,129,FALSE)</f>
        <v>9.3</v>
      </c>
      <c r="AI87" s="15">
        <f>VLOOKUP($A$84,'集計'!$A$4:$EP$61,133,FALSE)</f>
        <v>6</v>
      </c>
      <c r="AJ87" s="16">
        <f>VLOOKUP($A$84,'集計'!$A$4:$EP$61,137,FALSE)</f>
        <v>366</v>
      </c>
      <c r="AK87" s="15">
        <f>VLOOKUP($A$84,'集計'!$A$4:$EP$61,141,FALSE)</f>
        <v>76</v>
      </c>
      <c r="AL87" s="16">
        <f>VLOOKUP($A$84,'集計'!$A$4:$EP$61,145,FALSE)</f>
        <v>880.82</v>
      </c>
    </row>
    <row r="88" spans="1:38" ht="13.5">
      <c r="A88" s="32" t="s">
        <v>33</v>
      </c>
      <c r="B88" s="15">
        <f>VLOOKUP($A$88,'集計'!$A$4:$EP$61,6,FALSE)</f>
        <v>608</v>
      </c>
      <c r="C88" s="16">
        <f>VLOOKUP($A$88,'集計'!$A$4:$EP$61,10,FALSE)</f>
        <v>149.19</v>
      </c>
      <c r="D88" s="15">
        <f>VLOOKUP($A$88,'集計'!$A$4:$EP$61,14,FALSE)</f>
        <v>94</v>
      </c>
      <c r="E88" s="16">
        <f>VLOOKUP($A$88,'集計'!$A$4:$EP$61,18,FALSE)</f>
        <v>149.6</v>
      </c>
      <c r="F88" s="15">
        <f>VLOOKUP($A$88,'集計'!$A$4:$EP$61,22,FALSE)</f>
        <v>40</v>
      </c>
      <c r="G88" s="16">
        <f>VLOOKUP($A$88,'集計'!$A$4:$EP$61,26,FALSE)</f>
        <v>193.2</v>
      </c>
      <c r="H88" s="15">
        <f>VLOOKUP($A$88,'集計'!$A$4:$EP$61,30,FALSE)</f>
        <v>21</v>
      </c>
      <c r="I88" s="16">
        <f>VLOOKUP($A$88,'集計'!$A$4:$EP$61,34,FALSE)</f>
        <v>352.1</v>
      </c>
      <c r="J88" s="15">
        <f>VLOOKUP($A$88,'集計'!$A$4:$EP$61,38,FALSE)</f>
        <v>21</v>
      </c>
      <c r="K88" s="16">
        <f>VLOOKUP($A$88,'集計'!$A$4:$EP$61,42,FALSE)</f>
        <v>407.7</v>
      </c>
      <c r="L88" s="15">
        <f>VLOOKUP($A$88,'集計'!$A$4:$EP$61,46,FALSE)</f>
        <v>4</v>
      </c>
      <c r="M88" s="16">
        <f>VLOOKUP($A$88,'集計'!$A$4:$EP$61,50,FALSE)</f>
        <v>28.8</v>
      </c>
      <c r="N88" s="15">
        <f>VLOOKUP($A$88,'集計'!$A$4:$EP$61,54,FALSE)</f>
        <v>1</v>
      </c>
      <c r="O88" s="16">
        <f>VLOOKUP($A$88,'集計'!$A$4:$EP$61,58,FALSE)</f>
        <v>4</v>
      </c>
      <c r="P88" s="15">
        <f>VLOOKUP($A$88,'集計'!$A$4:$EP$61,62,FALSE)</f>
        <v>4</v>
      </c>
      <c r="Q88" s="16">
        <f>VLOOKUP($A$88,'集計'!$A$4:$EP$61,66,FALSE)</f>
        <v>381.1</v>
      </c>
      <c r="R88" s="15">
        <f>VLOOKUP($A$88,'集計'!$A$4:$EP$61,70,FALSE)</f>
        <v>793</v>
      </c>
      <c r="S88" s="16">
        <f>VLOOKUP($A$88,'集計'!$A$4:$EP$61,74,FALSE)</f>
        <v>1665.69</v>
      </c>
      <c r="T88" s="32" t="s">
        <v>33</v>
      </c>
      <c r="U88" s="15">
        <f>VLOOKUP($A$88,'集計'!$A$4:$EP$61,78,FALSE)</f>
        <v>585</v>
      </c>
      <c r="V88" s="16">
        <f>VLOOKUP($A$88,'集計'!$A$4:$EP$61,82,FALSE)</f>
        <v>142.02</v>
      </c>
      <c r="W88" s="15">
        <f>VLOOKUP($A$88,'集計'!$A$4:$EP$61,86,FALSE)</f>
        <v>89</v>
      </c>
      <c r="X88" s="16">
        <f>VLOOKUP($A$88,'集計'!$A$4:$EP$61,90,FALSE)</f>
        <v>142.2</v>
      </c>
      <c r="Y88" s="15">
        <f>VLOOKUP($A$88,'集計'!$A$4:$EP$61,94,FALSE)</f>
        <v>40</v>
      </c>
      <c r="Z88" s="16">
        <f>VLOOKUP($A$88,'集計'!$A$4:$EP$61,98,FALSE)</f>
        <v>189.1</v>
      </c>
      <c r="AA88" s="15">
        <f>VLOOKUP($A$88,'集計'!$A$4:$EP$61,102,FALSE)</f>
        <v>21</v>
      </c>
      <c r="AB88" s="16">
        <f>VLOOKUP($A$88,'集計'!$A$4:$EP$61,106,FALSE)</f>
        <v>299</v>
      </c>
      <c r="AC88" s="15">
        <f>VLOOKUP($A$88,'集計'!$A$4:$EP$61,110,FALSE)</f>
        <v>21</v>
      </c>
      <c r="AD88" s="16">
        <f>VLOOKUP($A$88,'集計'!$A$4:$EP$61,114,FALSE)</f>
        <v>364.8</v>
      </c>
      <c r="AE88" s="15">
        <f>VLOOKUP($A$88,'集計'!$A$4:$EP$61,118,FALSE)</f>
        <v>4</v>
      </c>
      <c r="AF88" s="16">
        <f>VLOOKUP($A$88,'集計'!$A$4:$EP$61,122,FALSE)</f>
        <v>23.8</v>
      </c>
      <c r="AG88" s="15">
        <f>VLOOKUP($A$88,'集計'!$A$4:$EP$61,126,FALSE)</f>
        <v>1</v>
      </c>
      <c r="AH88" s="16">
        <f>VLOOKUP($A$88,'集計'!$A$4:$EP$61,130,FALSE)</f>
        <v>3.9</v>
      </c>
      <c r="AI88" s="15">
        <f>VLOOKUP($A$88,'集計'!$A$4:$EP$61,134,FALSE)</f>
        <v>4</v>
      </c>
      <c r="AJ88" s="16">
        <f>VLOOKUP($A$88,'集計'!$A$4:$EP$61,138,FALSE)</f>
        <v>374.4</v>
      </c>
      <c r="AK88" s="15">
        <f>VLOOKUP($A$88,'集計'!$A$4:$EP$61,142,FALSE)</f>
        <v>765</v>
      </c>
      <c r="AL88" s="16">
        <f>VLOOKUP($A$88,'集計'!$A$4:$EP$61,146,FALSE)</f>
        <v>1539.22</v>
      </c>
    </row>
    <row r="89" spans="1:38" ht="13.5">
      <c r="A89" s="32" t="s">
        <v>22</v>
      </c>
      <c r="B89" s="15">
        <f>VLOOKUP($A$88,'集計'!$A$4:$EP$61,3,FALSE)</f>
        <v>348</v>
      </c>
      <c r="C89" s="16">
        <f>VLOOKUP($A$88,'集計'!$A$4:$EP$61,7,FALSE)</f>
        <v>80.94</v>
      </c>
      <c r="D89" s="15">
        <f>VLOOKUP($A$88,'集計'!$A$4:$EP$61,11,FALSE)</f>
        <v>50</v>
      </c>
      <c r="E89" s="16">
        <f>VLOOKUP($A$88,'集計'!$A$4:$EP$61,15,FALSE)</f>
        <v>72.4</v>
      </c>
      <c r="F89" s="15">
        <f>VLOOKUP($A$88,'集計'!$A$4:$EP$61,19,FALSE)</f>
        <v>15</v>
      </c>
      <c r="G89" s="16">
        <f>VLOOKUP($A$88,'集計'!$A$4:$EP$61,23,FALSE)</f>
        <v>70.3</v>
      </c>
      <c r="H89" s="15">
        <f>VLOOKUP($A$88,'集計'!$A$4:$EP$61,27,FALSE)</f>
        <v>2</v>
      </c>
      <c r="I89" s="16">
        <f>VLOOKUP($A$88,'集計'!$A$4:$EP$61,31,FALSE)</f>
        <v>31.8</v>
      </c>
      <c r="J89" s="15">
        <f>VLOOKUP($A$88,'集計'!$A$4:$EP$61,35,FALSE)</f>
        <v>4</v>
      </c>
      <c r="K89" s="16">
        <f>VLOOKUP($A$88,'集計'!$A$4:$EP$61,39,FALSE)</f>
        <v>93</v>
      </c>
      <c r="L89" s="15">
        <f>VLOOKUP($A$88,'集計'!$A$4:$EP$61,43,FALSE)</f>
        <v>0</v>
      </c>
      <c r="M89" s="16">
        <f>VLOOKUP($A$88,'集計'!$A$4:$EP$61,47,FALSE)</f>
        <v>0.8</v>
      </c>
      <c r="N89" s="15">
        <f>VLOOKUP($A$88,'集計'!$A$4:$EP$61,51,FALSE)</f>
        <v>0</v>
      </c>
      <c r="O89" s="16">
        <f>VLOOKUP($A$88,'集計'!$A$4:$EP$61,55,FALSE)</f>
        <v>0</v>
      </c>
      <c r="P89" s="15">
        <f>VLOOKUP($A$88,'集計'!$A$4:$EP$61,59,FALSE)</f>
        <v>0</v>
      </c>
      <c r="Q89" s="16">
        <f>VLOOKUP($A$88,'集計'!$A$4:$EP$61,63,FALSE)</f>
        <v>0</v>
      </c>
      <c r="R89" s="15">
        <f>VLOOKUP($A$88,'集計'!$A$4:$EP$61,67,FALSE)</f>
        <v>419</v>
      </c>
      <c r="S89" s="16">
        <f>VLOOKUP($A$88,'集計'!$A$4:$EP$61,71,FALSE)</f>
        <v>349.24</v>
      </c>
      <c r="T89" s="32" t="s">
        <v>22</v>
      </c>
      <c r="U89" s="15">
        <f>VLOOKUP($A$88,'集計'!$A$4:$EP$61,75,FALSE)</f>
        <v>337</v>
      </c>
      <c r="V89" s="16">
        <f>VLOOKUP($A$88,'集計'!$A$4:$EP$61,79,FALSE)</f>
        <v>77</v>
      </c>
      <c r="W89" s="15">
        <f>VLOOKUP($A$88,'集計'!$A$4:$EP$61,83,FALSE)</f>
        <v>46</v>
      </c>
      <c r="X89" s="16">
        <f>VLOOKUP($A$88,'集計'!$A$4:$EP$61,87,FALSE)</f>
        <v>66</v>
      </c>
      <c r="Y89" s="15">
        <f>VLOOKUP($A$88,'集計'!$A$4:$EP$61,91,FALSE)</f>
        <v>15</v>
      </c>
      <c r="Z89" s="16">
        <f>VLOOKUP($A$88,'集計'!$A$4:$EP$61,95,FALSE)</f>
        <v>69</v>
      </c>
      <c r="AA89" s="15">
        <f>VLOOKUP($A$88,'集計'!$A$4:$EP$61,99,FALSE)</f>
        <v>2</v>
      </c>
      <c r="AB89" s="16">
        <f>VLOOKUP($A$88,'集計'!$A$4:$EP$61,103,FALSE)</f>
        <v>22.3</v>
      </c>
      <c r="AC89" s="15">
        <f>VLOOKUP($A$88,'集計'!$A$4:$EP$61,107,FALSE)</f>
        <v>4</v>
      </c>
      <c r="AD89" s="16">
        <f>VLOOKUP($A$88,'集計'!$A$4:$EP$61,111,FALSE)</f>
        <v>88.8</v>
      </c>
      <c r="AE89" s="15">
        <f>VLOOKUP($A$88,'集計'!$A$4:$EP$61,115,FALSE)</f>
        <v>0</v>
      </c>
      <c r="AF89" s="16">
        <f>VLOOKUP($A$88,'集計'!$A$4:$EP$61,119,FALSE)</f>
        <v>0</v>
      </c>
      <c r="AG89" s="15">
        <f>VLOOKUP($A$88,'集計'!$A$4:$EP$61,123,FALSE)</f>
        <v>0</v>
      </c>
      <c r="AH89" s="16">
        <f>VLOOKUP($A$88,'集計'!$A$4:$EP$61,127,FALSE)</f>
        <v>0</v>
      </c>
      <c r="AI89" s="15">
        <f>VLOOKUP($A$88,'集計'!$A$4:$EP$61,131,FALSE)</f>
        <v>0</v>
      </c>
      <c r="AJ89" s="16">
        <f>VLOOKUP($A$88,'集計'!$A$4:$EP$61,135,FALSE)</f>
        <v>0</v>
      </c>
      <c r="AK89" s="15">
        <f>VLOOKUP($A$88,'集計'!$A$4:$EP$61,139,FALSE)</f>
        <v>404</v>
      </c>
      <c r="AL89" s="16">
        <f>VLOOKUP($A$88,'集計'!$A$4:$EP$61,143,FALSE)</f>
        <v>323.1</v>
      </c>
    </row>
    <row r="90" spans="1:38" ht="13.5">
      <c r="A90" s="32" t="s">
        <v>23</v>
      </c>
      <c r="B90" s="15">
        <f>VLOOKUP($A$88,'集計'!$A$4:$EP$61,4,FALSE)</f>
        <v>234</v>
      </c>
      <c r="C90" s="16">
        <f>VLOOKUP($A$88,'集計'!$A$4:$EP$61,8,FALSE)</f>
        <v>61.56</v>
      </c>
      <c r="D90" s="15">
        <f>VLOOKUP($A$88,'集計'!$A$4:$EP$61,(12),FALSE)</f>
        <v>36</v>
      </c>
      <c r="E90" s="16">
        <f>VLOOKUP($A$88,'集計'!$A$4:$EP$61,16,FALSE)</f>
        <v>63.2</v>
      </c>
      <c r="F90" s="15">
        <f>VLOOKUP($A$88,'集計'!$A$4:$EP$61,20,FALSE)</f>
        <v>14</v>
      </c>
      <c r="G90" s="16">
        <f>VLOOKUP($A$88,'集計'!$A$4:$EP$61,24,FALSE)</f>
        <v>67.1</v>
      </c>
      <c r="H90" s="15">
        <f>VLOOKUP($A$88,'集計'!$A$4:$EP$61,28,FALSE)</f>
        <v>2</v>
      </c>
      <c r="I90" s="16">
        <f>VLOOKUP($A$88,'集計'!$A$4:$EP$61,32,FALSE)</f>
        <v>29.5</v>
      </c>
      <c r="J90" s="15">
        <f>VLOOKUP($A$88,'集計'!$A$4:$EP$61,36,FALSE)</f>
        <v>2</v>
      </c>
      <c r="K90" s="16">
        <f>VLOOKUP($A$88,'集計'!$A$4:$EP$61,40,FALSE)</f>
        <v>30.1</v>
      </c>
      <c r="L90" s="15">
        <f>VLOOKUP($A$88,'集計'!$A$4:$EP$61,44,FALSE)</f>
        <v>3</v>
      </c>
      <c r="M90" s="16">
        <f>VLOOKUP($A$88,'集計'!$A$4:$EP$61,48,FALSE)</f>
        <v>19.8</v>
      </c>
      <c r="N90" s="15">
        <f>VLOOKUP($A$88,'集計'!$A$4:$EP$61,52,FALSE)</f>
        <v>1</v>
      </c>
      <c r="O90" s="16">
        <f>VLOOKUP($A$88,'集計'!$A$4:$EP$61,56,FALSE)</f>
        <v>4</v>
      </c>
      <c r="P90" s="15">
        <f>VLOOKUP($A$88,'集計'!$A$4:$EP$61,60,FALSE)</f>
        <v>0</v>
      </c>
      <c r="Q90" s="16">
        <f>VLOOKUP($A$88,'集計'!$A$4:$EP$61,64,FALSE)</f>
        <v>0</v>
      </c>
      <c r="R90" s="15">
        <f>VLOOKUP($A$88,'集計'!$A$4:$EP$61,68,FALSE)</f>
        <v>292</v>
      </c>
      <c r="S90" s="16">
        <f>VLOOKUP($A$88,'集計'!$A$4:$EP$61,72,FALSE)</f>
        <v>275.26</v>
      </c>
      <c r="T90" s="32" t="s">
        <v>23</v>
      </c>
      <c r="U90" s="15">
        <f>VLOOKUP($A$88,'集計'!$A$4:$EP$61,76,FALSE)</f>
        <v>222</v>
      </c>
      <c r="V90" s="16">
        <f>VLOOKUP($A$88,'集計'!$A$4:$EP$61,80,FALSE)</f>
        <v>58.4</v>
      </c>
      <c r="W90" s="15">
        <f>VLOOKUP($A$88,'集計'!$A$4:$EP$61,84,FALSE)</f>
        <v>35</v>
      </c>
      <c r="X90" s="16">
        <f>VLOOKUP($A$88,'集計'!$A$4:$EP$61,88,FALSE)</f>
        <v>62.2</v>
      </c>
      <c r="Y90" s="15">
        <f>VLOOKUP($A$88,'集計'!$A$4:$EP$61,92,FALSE)</f>
        <v>14</v>
      </c>
      <c r="Z90" s="16">
        <f>VLOOKUP($A$88,'集計'!$A$4:$EP$61,96,FALSE)</f>
        <v>67.1</v>
      </c>
      <c r="AA90" s="15">
        <f>VLOOKUP($A$88,'集計'!$A$4:$EP$61,100,FALSE)</f>
        <v>2</v>
      </c>
      <c r="AB90" s="16">
        <f>VLOOKUP($A$88,'集計'!$A$4:$EP$61,104,FALSE)</f>
        <v>27.7</v>
      </c>
      <c r="AC90" s="15">
        <f>VLOOKUP($A$88,'集計'!$A$4:$EP$61,108,FALSE)</f>
        <v>2</v>
      </c>
      <c r="AD90" s="16">
        <f>VLOOKUP($A$88,'集計'!$A$4:$EP$61,112,FALSE)</f>
        <v>30.1</v>
      </c>
      <c r="AE90" s="15">
        <f>VLOOKUP($A$88,'集計'!$A$4:$EP$61,116,FALSE)</f>
        <v>3</v>
      </c>
      <c r="AF90" s="16">
        <f>VLOOKUP($A$88,'集計'!$A$4:$EP$61,120,FALSE)</f>
        <v>19.7</v>
      </c>
      <c r="AG90" s="15">
        <f>VLOOKUP($A$88,'集計'!$A$4:$EP$61,124,FALSE)</f>
        <v>1</v>
      </c>
      <c r="AH90" s="16">
        <f>VLOOKUP($A$88,'集計'!$A$4:$EP$61,128,FALSE)</f>
        <v>3.9</v>
      </c>
      <c r="AI90" s="15">
        <f>VLOOKUP($A$88,'集計'!$A$4:$EP$61,132,FALSE)</f>
        <v>0</v>
      </c>
      <c r="AJ90" s="16">
        <f>VLOOKUP($A$88,'集計'!$A$4:$EP$61,136,FALSE)</f>
        <v>0</v>
      </c>
      <c r="AK90" s="15">
        <f>VLOOKUP($A$88,'集計'!$A$4:$EP$61,140,FALSE)</f>
        <v>279</v>
      </c>
      <c r="AL90" s="16">
        <f>VLOOKUP($A$88,'集計'!$A$4:$EP$61,144,FALSE)</f>
        <v>269.1</v>
      </c>
    </row>
    <row r="91" spans="1:38" ht="13.5">
      <c r="A91" s="32" t="s">
        <v>24</v>
      </c>
      <c r="B91" s="15">
        <f>VLOOKUP($A$88,'集計'!$A$4:$EP$61,5,FALSE)</f>
        <v>26</v>
      </c>
      <c r="C91" s="16">
        <f>VLOOKUP($A$88,'集計'!$A$4:$EP$61,9,FALSE)</f>
        <v>6.69</v>
      </c>
      <c r="D91" s="15">
        <f>VLOOKUP($A$88,'集計'!$A$4:$EP$61,13,FALSE)</f>
        <v>8</v>
      </c>
      <c r="E91" s="16">
        <f>VLOOKUP($A$88,'集計'!$A$4:$EP$61,17,FALSE)</f>
        <v>14</v>
      </c>
      <c r="F91" s="15">
        <f>VLOOKUP($A$88,'集計'!$A$4:$EP$61,21,FALSE)</f>
        <v>11</v>
      </c>
      <c r="G91" s="16">
        <f>VLOOKUP($A$88,'集計'!$A$4:$EP$61,25,FALSE)</f>
        <v>55.8</v>
      </c>
      <c r="H91" s="15">
        <f>VLOOKUP($A$88,'集計'!$A$4:$EP$61,29,FALSE)</f>
        <v>17</v>
      </c>
      <c r="I91" s="16">
        <f>VLOOKUP($A$88,'集計'!$A$4:$EP$61,33,FALSE)</f>
        <v>290.8</v>
      </c>
      <c r="J91" s="15">
        <f>VLOOKUP($A$88,'集計'!$A$4:$EP$61,37,FALSE)</f>
        <v>15</v>
      </c>
      <c r="K91" s="16">
        <f>VLOOKUP($A$88,'集計'!$A$4:$EP$61,41,FALSE)</f>
        <v>284.6</v>
      </c>
      <c r="L91" s="15">
        <f>VLOOKUP($A$88,'集計'!$A$4:$EP$61,45,FALSE)</f>
        <v>1</v>
      </c>
      <c r="M91" s="16">
        <f>VLOOKUP($A$88,'集計'!$A$4:$EP$61,49,FALSE)</f>
        <v>8.2</v>
      </c>
      <c r="N91" s="15">
        <f>VLOOKUP($A$88,'集計'!$A$4:$EP$61,53,FALSE)</f>
        <v>0</v>
      </c>
      <c r="O91" s="16">
        <f>VLOOKUP($A$88,'集計'!$A$4:$EP$61,57,FALSE)</f>
        <v>0</v>
      </c>
      <c r="P91" s="15">
        <f>VLOOKUP($A$88,'集計'!$A$4:$EP$61,61,FALSE)</f>
        <v>4</v>
      </c>
      <c r="Q91" s="16">
        <f>VLOOKUP($A$88,'集計'!$A$4:$EP$61,65,FALSE)</f>
        <v>381.1</v>
      </c>
      <c r="R91" s="15">
        <f>VLOOKUP($A$88,'集計'!$A$4:$EP$61,69,FALSE)</f>
        <v>82</v>
      </c>
      <c r="S91" s="16">
        <f>VLOOKUP($A$88,'集計'!$A$4:$EP$61,73,FALSE)</f>
        <v>1041.19</v>
      </c>
      <c r="T91" s="32" t="s">
        <v>24</v>
      </c>
      <c r="U91" s="15">
        <f>VLOOKUP($A$88,'集計'!$A$4:$EP$61,77,FALSE)</f>
        <v>26</v>
      </c>
      <c r="V91" s="16">
        <f>VLOOKUP($A$88,'集計'!$A$4:$EP$61,81,FALSE)</f>
        <v>6.62</v>
      </c>
      <c r="W91" s="15">
        <f>VLOOKUP($A$88,'集計'!$A$4:$EP$61,85,FALSE)</f>
        <v>8</v>
      </c>
      <c r="X91" s="16">
        <f>VLOOKUP($A$88,'集計'!$A$4:$EP$61,89,FALSE)</f>
        <v>14</v>
      </c>
      <c r="Y91" s="15">
        <f>VLOOKUP($A$88,'集計'!$A$4:$EP$61,93,FALSE)</f>
        <v>11</v>
      </c>
      <c r="Z91" s="16">
        <f>VLOOKUP($A$88,'集計'!$A$4:$EP$61,97,FALSE)</f>
        <v>53</v>
      </c>
      <c r="AA91" s="15">
        <f>VLOOKUP($A$88,'集計'!$A$4:$EP$61,101,FALSE)</f>
        <v>17</v>
      </c>
      <c r="AB91" s="16">
        <f>VLOOKUP($A$88,'集計'!$A$4:$EP$61,105,FALSE)</f>
        <v>249</v>
      </c>
      <c r="AC91" s="15">
        <f>VLOOKUP($A$88,'集計'!$A$4:$EP$61,109,FALSE)</f>
        <v>15</v>
      </c>
      <c r="AD91" s="16">
        <f>VLOOKUP($A$88,'集計'!$A$4:$EP$61,113,FALSE)</f>
        <v>245.9</v>
      </c>
      <c r="AE91" s="15">
        <f>VLOOKUP($A$88,'集計'!$A$4:$EP$61,117,FALSE)</f>
        <v>1</v>
      </c>
      <c r="AF91" s="16">
        <f>VLOOKUP($A$88,'集計'!$A$4:$EP$61,121,FALSE)</f>
        <v>4.1</v>
      </c>
      <c r="AG91" s="15">
        <f>VLOOKUP($A$88,'集計'!$A$4:$EP$61,125,FALSE)</f>
        <v>0</v>
      </c>
      <c r="AH91" s="16">
        <f>VLOOKUP($A$88,'集計'!$A$4:$EP$61,129,FALSE)</f>
        <v>0</v>
      </c>
      <c r="AI91" s="15">
        <f>VLOOKUP($A$88,'集計'!$A$4:$EP$61,133,FALSE)</f>
        <v>4</v>
      </c>
      <c r="AJ91" s="16">
        <f>VLOOKUP($A$88,'集計'!$A$4:$EP$61,137,FALSE)</f>
        <v>374.4</v>
      </c>
      <c r="AK91" s="15">
        <f>VLOOKUP($A$88,'集計'!$A$4:$EP$61,141,FALSE)</f>
        <v>82</v>
      </c>
      <c r="AL91" s="16">
        <f>VLOOKUP($A$88,'集計'!$A$4:$EP$61,145,FALSE)</f>
        <v>947.02</v>
      </c>
    </row>
    <row r="92" spans="1:38" ht="13.5">
      <c r="A92" s="32" t="s">
        <v>34</v>
      </c>
      <c r="B92" s="15">
        <f>VLOOKUP($A$92,'集計'!$A$4:$EP$61,6,FALSE)</f>
        <v>534</v>
      </c>
      <c r="C92" s="16">
        <f>VLOOKUP($A$92,'集計'!$A$4:$EP$61,10,FALSE)</f>
        <v>138.78</v>
      </c>
      <c r="D92" s="15">
        <f>VLOOKUP($A$92,'集計'!$A$4:$EP$61,14,FALSE)</f>
        <v>102</v>
      </c>
      <c r="E92" s="16">
        <f>VLOOKUP($A$92,'集計'!$A$4:$EP$61,18,FALSE)</f>
        <v>178.2</v>
      </c>
      <c r="F92" s="15">
        <f>VLOOKUP($A$92,'集計'!$A$4:$EP$61,22,FALSE)</f>
        <v>18</v>
      </c>
      <c r="G92" s="16">
        <f>VLOOKUP($A$92,'集計'!$A$4:$EP$61,26,FALSE)</f>
        <v>99</v>
      </c>
      <c r="H92" s="15">
        <f>VLOOKUP($A$92,'集計'!$A$4:$EP$61,30,FALSE)</f>
        <v>25</v>
      </c>
      <c r="I92" s="16">
        <f>VLOOKUP($A$92,'集計'!$A$4:$EP$61,34,FALSE)</f>
        <v>963.3</v>
      </c>
      <c r="J92" s="15">
        <f>VLOOKUP($A$92,'集計'!$A$4:$EP$61,38,FALSE)</f>
        <v>10</v>
      </c>
      <c r="K92" s="16">
        <f>VLOOKUP($A$92,'集計'!$A$4:$EP$61,42,FALSE)</f>
        <v>258</v>
      </c>
      <c r="L92" s="15">
        <f>VLOOKUP($A$92,'集計'!$A$4:$EP$61,46,FALSE)</f>
        <v>7</v>
      </c>
      <c r="M92" s="16">
        <f>VLOOKUP($A$92,'集計'!$A$4:$EP$61,50,FALSE)</f>
        <v>686.7</v>
      </c>
      <c r="N92" s="15">
        <f>VLOOKUP($A$92,'集計'!$A$4:$EP$61,54,FALSE)</f>
        <v>3</v>
      </c>
      <c r="O92" s="16">
        <f>VLOOKUP($A$92,'集計'!$A$4:$EP$61,58,FALSE)</f>
        <v>41</v>
      </c>
      <c r="P92" s="15">
        <f>VLOOKUP($A$92,'集計'!$A$4:$EP$61,62,FALSE)</f>
        <v>1</v>
      </c>
      <c r="Q92" s="16">
        <f>VLOOKUP($A$92,'集計'!$A$4:$EP$61,66,FALSE)</f>
        <v>60.3</v>
      </c>
      <c r="R92" s="15">
        <f>VLOOKUP($A$92,'集計'!$A$4:$EP$61,70,FALSE)</f>
        <v>700</v>
      </c>
      <c r="S92" s="16">
        <f>VLOOKUP($A$92,'集計'!$A$4:$EP$61,74,FALSE)</f>
        <v>2425.28</v>
      </c>
      <c r="T92" s="32" t="s">
        <v>34</v>
      </c>
      <c r="U92" s="15">
        <f>VLOOKUP($A$92,'集計'!$A$4:$EP$61,78,FALSE)</f>
        <v>502</v>
      </c>
      <c r="V92" s="16">
        <f>VLOOKUP($A$92,'集計'!$A$4:$EP$61,82,FALSE)</f>
        <v>131.47</v>
      </c>
      <c r="W92" s="15">
        <f>VLOOKUP($A$92,'集計'!$A$4:$EP$61,86,FALSE)</f>
        <v>87</v>
      </c>
      <c r="X92" s="16">
        <f>VLOOKUP($A$92,'集計'!$A$4:$EP$61,90,FALSE)</f>
        <v>154.3</v>
      </c>
      <c r="Y92" s="15">
        <f>VLOOKUP($A$92,'集計'!$A$4:$EP$61,94,FALSE)</f>
        <v>16</v>
      </c>
      <c r="Z92" s="16">
        <f>VLOOKUP($A$92,'集計'!$A$4:$EP$61,98,FALSE)</f>
        <v>69.7</v>
      </c>
      <c r="AA92" s="15">
        <f>VLOOKUP($A$92,'集計'!$A$4:$EP$61,102,FALSE)</f>
        <v>25</v>
      </c>
      <c r="AB92" s="16">
        <f>VLOOKUP($A$92,'集計'!$A$4:$EP$61,106,FALSE)</f>
        <v>518.8</v>
      </c>
      <c r="AC92" s="15">
        <f>VLOOKUP($A$92,'集計'!$A$4:$EP$61,110,FALSE)</f>
        <v>10</v>
      </c>
      <c r="AD92" s="16">
        <f>VLOOKUP($A$92,'集計'!$A$4:$EP$61,114,FALSE)</f>
        <v>208.8</v>
      </c>
      <c r="AE92" s="15">
        <f>VLOOKUP($A$92,'集計'!$A$4:$EP$61,118,FALSE)</f>
        <v>7</v>
      </c>
      <c r="AF92" s="16">
        <f>VLOOKUP($A$92,'集計'!$A$4:$EP$61,122,FALSE)</f>
        <v>529</v>
      </c>
      <c r="AG92" s="15">
        <f>VLOOKUP($A$92,'集計'!$A$4:$EP$61,126,FALSE)</f>
        <v>2</v>
      </c>
      <c r="AH92" s="16">
        <f>VLOOKUP($A$92,'集計'!$A$4:$EP$61,130,FALSE)</f>
        <v>15.7</v>
      </c>
      <c r="AI92" s="15">
        <f>VLOOKUP($A$92,'集計'!$A$4:$EP$61,134,FALSE)</f>
        <v>1</v>
      </c>
      <c r="AJ92" s="16">
        <f>VLOOKUP($A$92,'集計'!$A$4:$EP$61,138,FALSE)</f>
        <v>60.3</v>
      </c>
      <c r="AK92" s="15">
        <f>VLOOKUP($A$92,'集計'!$A$4:$EP$61,142,FALSE)</f>
        <v>650</v>
      </c>
      <c r="AL92" s="16">
        <f>VLOOKUP($A$92,'集計'!$A$4:$EP$61,146,FALSE)</f>
        <v>1688.07</v>
      </c>
    </row>
    <row r="93" spans="1:38" ht="13.5">
      <c r="A93" s="32" t="s">
        <v>22</v>
      </c>
      <c r="B93" s="15">
        <f>VLOOKUP($A$92,'集計'!$A$4:$EP$61,3,FALSE)</f>
        <v>368</v>
      </c>
      <c r="C93" s="16">
        <f>VLOOKUP($A$92,'集計'!$A$4:$EP$61,7,FALSE)</f>
        <v>92.86</v>
      </c>
      <c r="D93" s="15">
        <f>VLOOKUP($A$92,'集計'!$A$4:$EP$61,11,FALSE)</f>
        <v>54</v>
      </c>
      <c r="E93" s="16">
        <f>VLOOKUP($A$92,'集計'!$A$4:$EP$61,15,FALSE)</f>
        <v>83.8</v>
      </c>
      <c r="F93" s="15">
        <f>VLOOKUP($A$92,'集計'!$A$4:$EP$61,19,FALSE)</f>
        <v>3</v>
      </c>
      <c r="G93" s="16">
        <f>VLOOKUP($A$92,'集計'!$A$4:$EP$61,23,FALSE)</f>
        <v>13.3</v>
      </c>
      <c r="H93" s="15">
        <f>VLOOKUP($A$92,'集計'!$A$4:$EP$61,27,FALSE)</f>
        <v>4</v>
      </c>
      <c r="I93" s="16">
        <f>VLOOKUP($A$92,'集計'!$A$4:$EP$61,31,FALSE)</f>
        <v>76.4</v>
      </c>
      <c r="J93" s="15">
        <f>VLOOKUP($A$92,'集計'!$A$4:$EP$61,35,FALSE)</f>
        <v>2</v>
      </c>
      <c r="K93" s="16">
        <f>VLOOKUP($A$92,'集計'!$A$4:$EP$61,39,FALSE)</f>
        <v>53.6</v>
      </c>
      <c r="L93" s="15">
        <f>VLOOKUP($A$92,'集計'!$A$4:$EP$61,43,FALSE)</f>
        <v>0</v>
      </c>
      <c r="M93" s="16">
        <f>VLOOKUP($A$92,'集計'!$A$4:$EP$61,47,FALSE)</f>
        <v>0</v>
      </c>
      <c r="N93" s="15">
        <f>VLOOKUP($A$92,'集計'!$A$4:$EP$61,51,FALSE)</f>
        <v>0</v>
      </c>
      <c r="O93" s="16">
        <f>VLOOKUP($A$92,'集計'!$A$4:$EP$61,55,FALSE)</f>
        <v>0</v>
      </c>
      <c r="P93" s="15">
        <f>VLOOKUP($A$92,'集計'!$A$4:$EP$61,59,FALSE)</f>
        <v>0</v>
      </c>
      <c r="Q93" s="16">
        <f>VLOOKUP($A$92,'集計'!$A$4:$EP$61,63,FALSE)</f>
        <v>0</v>
      </c>
      <c r="R93" s="15">
        <f>VLOOKUP($A$92,'集計'!$A$4:$EP$61,67,FALSE)</f>
        <v>431</v>
      </c>
      <c r="S93" s="16">
        <f>VLOOKUP($A$92,'集計'!$A$4:$EP$61,71,FALSE)</f>
        <v>319.96</v>
      </c>
      <c r="T93" s="32" t="s">
        <v>22</v>
      </c>
      <c r="U93" s="15">
        <f>VLOOKUP($A$92,'集計'!$A$4:$EP$61,75,FALSE)</f>
        <v>351</v>
      </c>
      <c r="V93" s="16">
        <f>VLOOKUP($A$92,'集計'!$A$4:$EP$61,79,FALSE)</f>
        <v>89.72</v>
      </c>
      <c r="W93" s="15">
        <f>VLOOKUP($A$92,'集計'!$A$4:$EP$61,83,FALSE)</f>
        <v>47</v>
      </c>
      <c r="X93" s="16">
        <f>VLOOKUP($A$92,'集計'!$A$4:$EP$61,87,FALSE)</f>
        <v>72.8</v>
      </c>
      <c r="Y93" s="15">
        <f>VLOOKUP($A$92,'集計'!$A$4:$EP$61,91,FALSE)</f>
        <v>3</v>
      </c>
      <c r="Z93" s="16">
        <f>VLOOKUP($A$92,'集計'!$A$4:$EP$61,95,FALSE)</f>
        <v>13.3</v>
      </c>
      <c r="AA93" s="15">
        <f>VLOOKUP($A$92,'集計'!$A$4:$EP$61,99,FALSE)</f>
        <v>4</v>
      </c>
      <c r="AB93" s="16">
        <f>VLOOKUP($A$92,'集計'!$A$4:$EP$61,103,FALSE)</f>
        <v>75.4</v>
      </c>
      <c r="AC93" s="15">
        <f>VLOOKUP($A$92,'集計'!$A$4:$EP$61,107,FALSE)</f>
        <v>2</v>
      </c>
      <c r="AD93" s="16">
        <f>VLOOKUP($A$92,'集計'!$A$4:$EP$61,111,FALSE)</f>
        <v>53.1</v>
      </c>
      <c r="AE93" s="15">
        <f>VLOOKUP($A$92,'集計'!$A$4:$EP$61,115,FALSE)</f>
        <v>0</v>
      </c>
      <c r="AF93" s="16">
        <f>VLOOKUP($A$92,'集計'!$A$4:$EP$61,119,FALSE)</f>
        <v>0</v>
      </c>
      <c r="AG93" s="15">
        <f>VLOOKUP($A$92,'集計'!$A$4:$EP$61,123,FALSE)</f>
        <v>0</v>
      </c>
      <c r="AH93" s="16">
        <f>VLOOKUP($A$92,'集計'!$A$4:$EP$61,127,FALSE)</f>
        <v>0</v>
      </c>
      <c r="AI93" s="15">
        <f>VLOOKUP($A$92,'集計'!$A$4:$EP$61,131,FALSE)</f>
        <v>0</v>
      </c>
      <c r="AJ93" s="16">
        <f>VLOOKUP($A$92,'集計'!$A$4:$EP$61,135,FALSE)</f>
        <v>0</v>
      </c>
      <c r="AK93" s="15">
        <f>VLOOKUP($A$92,'集計'!$A$4:$EP$61,139,FALSE)</f>
        <v>407</v>
      </c>
      <c r="AL93" s="16">
        <f>VLOOKUP($A$92,'集計'!$A$4:$EP$61,143,FALSE)</f>
        <v>304.32</v>
      </c>
    </row>
    <row r="94" spans="1:38" ht="13.5">
      <c r="A94" s="32" t="s">
        <v>23</v>
      </c>
      <c r="B94" s="15">
        <f>VLOOKUP($A$92,'集計'!$A$4:$EP$61,4,FALSE)</f>
        <v>145</v>
      </c>
      <c r="C94" s="16">
        <f>VLOOKUP($A$92,'集計'!$A$4:$EP$61,8,FALSE)</f>
        <v>40.44</v>
      </c>
      <c r="D94" s="15">
        <f>VLOOKUP($A$92,'集計'!$A$4:$EP$61,(12),FALSE)</f>
        <v>39</v>
      </c>
      <c r="E94" s="16">
        <f>VLOOKUP($A$92,'集計'!$A$4:$EP$61,16,FALSE)</f>
        <v>77.8</v>
      </c>
      <c r="F94" s="15">
        <f>VLOOKUP($A$92,'集計'!$A$4:$EP$61,20,FALSE)</f>
        <v>3</v>
      </c>
      <c r="G94" s="16">
        <f>VLOOKUP($A$92,'集計'!$A$4:$EP$61,24,FALSE)</f>
        <v>26.7</v>
      </c>
      <c r="H94" s="15">
        <f>VLOOKUP($A$92,'集計'!$A$4:$EP$61,28,FALSE)</f>
        <v>2</v>
      </c>
      <c r="I94" s="16">
        <f>VLOOKUP($A$92,'集計'!$A$4:$EP$61,32,FALSE)</f>
        <v>119.1</v>
      </c>
      <c r="J94" s="15">
        <f>VLOOKUP($A$92,'集計'!$A$4:$EP$61,36,FALSE)</f>
        <v>0</v>
      </c>
      <c r="K94" s="16">
        <f>VLOOKUP($A$92,'集計'!$A$4:$EP$61,40,FALSE)</f>
        <v>0</v>
      </c>
      <c r="L94" s="15">
        <f>VLOOKUP($A$92,'集計'!$A$4:$EP$61,44,FALSE)</f>
        <v>1</v>
      </c>
      <c r="M94" s="16">
        <f>VLOOKUP($A$92,'集計'!$A$4:$EP$61,48,FALSE)</f>
        <v>11.9</v>
      </c>
      <c r="N94" s="15">
        <f>VLOOKUP($A$92,'集計'!$A$4:$EP$61,52,FALSE)</f>
        <v>0</v>
      </c>
      <c r="O94" s="16">
        <f>VLOOKUP($A$92,'集計'!$A$4:$EP$61,56,FALSE)</f>
        <v>0</v>
      </c>
      <c r="P94" s="15">
        <f>VLOOKUP($A$92,'集計'!$A$4:$EP$61,60,FALSE)</f>
        <v>0</v>
      </c>
      <c r="Q94" s="16">
        <f>VLOOKUP($A$92,'集計'!$A$4:$EP$61,64,FALSE)</f>
        <v>0</v>
      </c>
      <c r="R94" s="15">
        <f>VLOOKUP($A$92,'集計'!$A$4:$EP$61,68,FALSE)</f>
        <v>190</v>
      </c>
      <c r="S94" s="16">
        <f>VLOOKUP($A$92,'集計'!$A$4:$EP$61,72,FALSE)</f>
        <v>275.94</v>
      </c>
      <c r="T94" s="32" t="s">
        <v>23</v>
      </c>
      <c r="U94" s="15">
        <f>VLOOKUP($A$92,'集計'!$A$4:$EP$61,76,FALSE)</f>
        <v>131</v>
      </c>
      <c r="V94" s="16">
        <f>VLOOKUP($A$92,'集計'!$A$4:$EP$61,80,FALSE)</f>
        <v>36.42</v>
      </c>
      <c r="W94" s="15">
        <f>VLOOKUP($A$92,'集計'!$A$4:$EP$61,84,FALSE)</f>
        <v>32</v>
      </c>
      <c r="X94" s="16">
        <f>VLOOKUP($A$92,'集計'!$A$4:$EP$61,88,FALSE)</f>
        <v>68.3</v>
      </c>
      <c r="Y94" s="15">
        <f>VLOOKUP($A$92,'集計'!$A$4:$EP$61,92,FALSE)</f>
        <v>3</v>
      </c>
      <c r="Z94" s="16">
        <f>VLOOKUP($A$92,'集計'!$A$4:$EP$61,96,FALSE)</f>
        <v>12.3</v>
      </c>
      <c r="AA94" s="15">
        <f>VLOOKUP($A$92,'集計'!$A$4:$EP$61,100,FALSE)</f>
        <v>2</v>
      </c>
      <c r="AB94" s="16">
        <f>VLOOKUP($A$92,'集計'!$A$4:$EP$61,104,FALSE)</f>
        <v>51.4</v>
      </c>
      <c r="AC94" s="15">
        <f>VLOOKUP($A$92,'集計'!$A$4:$EP$61,108,FALSE)</f>
        <v>0</v>
      </c>
      <c r="AD94" s="16">
        <f>VLOOKUP($A$92,'集計'!$A$4:$EP$61,112,FALSE)</f>
        <v>0</v>
      </c>
      <c r="AE94" s="15">
        <f>VLOOKUP($A$92,'集計'!$A$4:$EP$61,116,FALSE)</f>
        <v>1</v>
      </c>
      <c r="AF94" s="16">
        <f>VLOOKUP($A$92,'集計'!$A$4:$EP$61,120,FALSE)</f>
        <v>6</v>
      </c>
      <c r="AG94" s="15">
        <f>VLOOKUP($A$92,'集計'!$A$4:$EP$61,124,FALSE)</f>
        <v>0</v>
      </c>
      <c r="AH94" s="16">
        <f>VLOOKUP($A$92,'集計'!$A$4:$EP$61,128,FALSE)</f>
        <v>0</v>
      </c>
      <c r="AI94" s="15">
        <f>VLOOKUP($A$92,'集計'!$A$4:$EP$61,132,FALSE)</f>
        <v>0</v>
      </c>
      <c r="AJ94" s="16">
        <f>VLOOKUP($A$92,'集計'!$A$4:$EP$61,136,FALSE)</f>
        <v>0</v>
      </c>
      <c r="AK94" s="15">
        <f>VLOOKUP($A$92,'集計'!$A$4:$EP$61,140,FALSE)</f>
        <v>169</v>
      </c>
      <c r="AL94" s="16">
        <f>VLOOKUP($A$92,'集計'!$A$4:$EP$61,144,FALSE)</f>
        <v>174.42</v>
      </c>
    </row>
    <row r="95" spans="1:38" ht="13.5">
      <c r="A95" s="32" t="s">
        <v>24</v>
      </c>
      <c r="B95" s="15">
        <f>VLOOKUP($A$92,'集計'!$A$4:$EP$61,5,FALSE)</f>
        <v>21</v>
      </c>
      <c r="C95" s="16">
        <f>VLOOKUP($A$92,'集計'!$A$4:$EP$61,9,FALSE)</f>
        <v>5.48</v>
      </c>
      <c r="D95" s="15">
        <f>VLOOKUP($A$92,'集計'!$A$4:$EP$61,13,FALSE)</f>
        <v>9</v>
      </c>
      <c r="E95" s="16">
        <f>VLOOKUP($A$92,'集計'!$A$4:$EP$61,17,FALSE)</f>
        <v>16.6</v>
      </c>
      <c r="F95" s="15">
        <f>VLOOKUP($A$92,'集計'!$A$4:$EP$61,21,FALSE)</f>
        <v>12</v>
      </c>
      <c r="G95" s="16">
        <f>VLOOKUP($A$92,'集計'!$A$4:$EP$61,25,FALSE)</f>
        <v>59</v>
      </c>
      <c r="H95" s="15">
        <f>VLOOKUP($A$92,'集計'!$A$4:$EP$61,29,FALSE)</f>
        <v>19</v>
      </c>
      <c r="I95" s="16">
        <f>VLOOKUP($A$92,'集計'!$A$4:$EP$61,33,FALSE)</f>
        <v>767.8</v>
      </c>
      <c r="J95" s="15">
        <f>VLOOKUP($A$92,'集計'!$A$4:$EP$61,37,FALSE)</f>
        <v>8</v>
      </c>
      <c r="K95" s="16">
        <f>VLOOKUP($A$92,'集計'!$A$4:$EP$61,41,FALSE)</f>
        <v>204.4</v>
      </c>
      <c r="L95" s="15">
        <f>VLOOKUP($A$92,'集計'!$A$4:$EP$61,45,FALSE)</f>
        <v>6</v>
      </c>
      <c r="M95" s="16">
        <f>VLOOKUP($A$92,'集計'!$A$4:$EP$61,49,FALSE)</f>
        <v>674.8</v>
      </c>
      <c r="N95" s="15">
        <f>VLOOKUP($A$92,'集計'!$A$4:$EP$61,53,FALSE)</f>
        <v>3</v>
      </c>
      <c r="O95" s="16">
        <f>VLOOKUP($A$92,'集計'!$A$4:$EP$61,57,FALSE)</f>
        <v>41</v>
      </c>
      <c r="P95" s="15">
        <f>VLOOKUP($A$92,'集計'!$A$4:$EP$61,61,FALSE)</f>
        <v>1</v>
      </c>
      <c r="Q95" s="16">
        <f>VLOOKUP($A$92,'集計'!$A$4:$EP$61,65,FALSE)</f>
        <v>60.3</v>
      </c>
      <c r="R95" s="15">
        <f>VLOOKUP($A$92,'集計'!$A$4:$EP$61,69,FALSE)</f>
        <v>79</v>
      </c>
      <c r="S95" s="16">
        <f>VLOOKUP($A$92,'集計'!$A$4:$EP$61,73,FALSE)</f>
        <v>1829.38</v>
      </c>
      <c r="T95" s="32" t="s">
        <v>24</v>
      </c>
      <c r="U95" s="15">
        <f>VLOOKUP($A$92,'集計'!$A$4:$EP$61,77,FALSE)</f>
        <v>20</v>
      </c>
      <c r="V95" s="16">
        <f>VLOOKUP($A$92,'集計'!$A$4:$EP$61,81,FALSE)</f>
        <v>5.33</v>
      </c>
      <c r="W95" s="15">
        <f>VLOOKUP($A$92,'集計'!$A$4:$EP$61,85,FALSE)</f>
        <v>8</v>
      </c>
      <c r="X95" s="16">
        <f>VLOOKUP($A$92,'集計'!$A$4:$EP$61,89,FALSE)</f>
        <v>13.2</v>
      </c>
      <c r="Y95" s="15">
        <f>VLOOKUP($A$92,'集計'!$A$4:$EP$61,93,FALSE)</f>
        <v>10</v>
      </c>
      <c r="Z95" s="16">
        <f>VLOOKUP($A$92,'集計'!$A$4:$EP$61,97,FALSE)</f>
        <v>44.1</v>
      </c>
      <c r="AA95" s="15">
        <f>VLOOKUP($A$92,'集計'!$A$4:$EP$61,101,FALSE)</f>
        <v>19</v>
      </c>
      <c r="AB95" s="16">
        <f>VLOOKUP($A$92,'集計'!$A$4:$EP$61,105,FALSE)</f>
        <v>392</v>
      </c>
      <c r="AC95" s="15">
        <f>VLOOKUP($A$92,'集計'!$A$4:$EP$61,109,FALSE)</f>
        <v>8</v>
      </c>
      <c r="AD95" s="16">
        <f>VLOOKUP($A$92,'集計'!$A$4:$EP$61,113,FALSE)</f>
        <v>155.7</v>
      </c>
      <c r="AE95" s="15">
        <f>VLOOKUP($A$92,'集計'!$A$4:$EP$61,117,FALSE)</f>
        <v>6</v>
      </c>
      <c r="AF95" s="16">
        <f>VLOOKUP($A$92,'集計'!$A$4:$EP$61,121,FALSE)</f>
        <v>523</v>
      </c>
      <c r="AG95" s="15">
        <f>VLOOKUP($A$92,'集計'!$A$4:$EP$61,125,FALSE)</f>
        <v>2</v>
      </c>
      <c r="AH95" s="16">
        <f>VLOOKUP($A$92,'集計'!$A$4:$EP$61,129,FALSE)</f>
        <v>15.7</v>
      </c>
      <c r="AI95" s="15">
        <f>VLOOKUP($A$92,'集計'!$A$4:$EP$61,133,FALSE)</f>
        <v>1</v>
      </c>
      <c r="AJ95" s="16">
        <f>VLOOKUP($A$92,'集計'!$A$4:$EP$61,137,FALSE)</f>
        <v>60.3</v>
      </c>
      <c r="AK95" s="15">
        <f>VLOOKUP($A$92,'集計'!$A$4:$EP$61,141,FALSE)</f>
        <v>74</v>
      </c>
      <c r="AL95" s="16">
        <f>VLOOKUP($A$92,'集計'!$A$4:$EP$61,145,FALSE)</f>
        <v>1209.33</v>
      </c>
    </row>
    <row r="96" spans="1:38" ht="13.5">
      <c r="A96" s="32" t="s">
        <v>35</v>
      </c>
      <c r="B96" s="15">
        <f>VLOOKUP($A$96,'集計'!$A$4:$EP$61,6,FALSE)</f>
        <v>1297</v>
      </c>
      <c r="C96" s="16">
        <f>VLOOKUP($A$96,'集計'!$A$4:$EP$61,10,FALSE)</f>
        <v>322.11</v>
      </c>
      <c r="D96" s="15">
        <f>VLOOKUP($A$96,'集計'!$A$4:$EP$61,14,FALSE)</f>
        <v>165</v>
      </c>
      <c r="E96" s="16">
        <f>VLOOKUP($A$96,'集計'!$A$4:$EP$61,18,FALSE)</f>
        <v>305.54</v>
      </c>
      <c r="F96" s="15">
        <f>VLOOKUP($A$96,'集計'!$A$4:$EP$61,22,FALSE)</f>
        <v>31</v>
      </c>
      <c r="G96" s="16">
        <f>VLOOKUP($A$96,'集計'!$A$4:$EP$61,26,FALSE)</f>
        <v>161.4</v>
      </c>
      <c r="H96" s="15">
        <f>VLOOKUP($A$96,'集計'!$A$4:$EP$61,30,FALSE)</f>
        <v>56</v>
      </c>
      <c r="I96" s="16">
        <f>VLOOKUP($A$96,'集計'!$A$4:$EP$61,34,FALSE)</f>
        <v>1154.5</v>
      </c>
      <c r="J96" s="15">
        <f>VLOOKUP($A$96,'集計'!$A$4:$EP$61,38,FALSE)</f>
        <v>14</v>
      </c>
      <c r="K96" s="16">
        <f>VLOOKUP($A$96,'集計'!$A$4:$EP$61,42,FALSE)</f>
        <v>235.7</v>
      </c>
      <c r="L96" s="15">
        <f>VLOOKUP($A$96,'集計'!$A$4:$EP$61,46,FALSE)</f>
        <v>1</v>
      </c>
      <c r="M96" s="16">
        <f>VLOOKUP($A$96,'集計'!$A$4:$EP$61,50,FALSE)</f>
        <v>9.2</v>
      </c>
      <c r="N96" s="15">
        <f>VLOOKUP($A$96,'集計'!$A$4:$EP$61,54,FALSE)</f>
        <v>6</v>
      </c>
      <c r="O96" s="16">
        <f>VLOOKUP($A$96,'集計'!$A$4:$EP$61,58,FALSE)</f>
        <v>9.5</v>
      </c>
      <c r="P96" s="15">
        <f>VLOOKUP($A$96,'集計'!$A$4:$EP$61,62,FALSE)</f>
        <v>15</v>
      </c>
      <c r="Q96" s="16">
        <f>VLOOKUP($A$96,'集計'!$A$4:$EP$61,66,FALSE)</f>
        <v>959.8</v>
      </c>
      <c r="R96" s="15">
        <f>VLOOKUP($A$96,'集計'!$A$4:$EP$61,70,FALSE)</f>
        <v>1585</v>
      </c>
      <c r="S96" s="16">
        <f>VLOOKUP($A$96,'集計'!$A$4:$EP$61,74,FALSE)</f>
        <v>3157.75</v>
      </c>
      <c r="T96" s="32" t="s">
        <v>35</v>
      </c>
      <c r="U96" s="15">
        <f>VLOOKUP($A$96,'集計'!$A$4:$EP$61,78,FALSE)</f>
        <v>1263</v>
      </c>
      <c r="V96" s="16">
        <f>VLOOKUP($A$96,'集計'!$A$4:$EP$61,82,FALSE)</f>
        <v>314.67</v>
      </c>
      <c r="W96" s="15">
        <f>VLOOKUP($A$96,'集計'!$A$4:$EP$61,86,FALSE)</f>
        <v>158</v>
      </c>
      <c r="X96" s="16">
        <f>VLOOKUP($A$96,'集計'!$A$4:$EP$61,90,FALSE)</f>
        <v>285.04</v>
      </c>
      <c r="Y96" s="15">
        <f>VLOOKUP($A$96,'集計'!$A$4:$EP$61,94,FALSE)</f>
        <v>30</v>
      </c>
      <c r="Z96" s="16">
        <f>VLOOKUP($A$96,'集計'!$A$4:$EP$61,98,FALSE)</f>
        <v>150.4</v>
      </c>
      <c r="AA96" s="15">
        <f>VLOOKUP($A$96,'集計'!$A$4:$EP$61,102,FALSE)</f>
        <v>54</v>
      </c>
      <c r="AB96" s="16">
        <f>VLOOKUP($A$96,'集計'!$A$4:$EP$61,106,FALSE)</f>
        <v>815.64</v>
      </c>
      <c r="AC96" s="15">
        <f>VLOOKUP($A$96,'集計'!$A$4:$EP$61,110,FALSE)</f>
        <v>13</v>
      </c>
      <c r="AD96" s="16">
        <f>VLOOKUP($A$96,'集計'!$A$4:$EP$61,114,FALSE)</f>
        <v>211.43</v>
      </c>
      <c r="AE96" s="15">
        <f>VLOOKUP($A$96,'集計'!$A$4:$EP$61,118,FALSE)</f>
        <v>1</v>
      </c>
      <c r="AF96" s="16">
        <f>VLOOKUP($A$96,'集計'!$A$4:$EP$61,122,FALSE)</f>
        <v>8.7</v>
      </c>
      <c r="AG96" s="15">
        <f>VLOOKUP($A$96,'集計'!$A$4:$EP$61,126,FALSE)</f>
        <v>6</v>
      </c>
      <c r="AH96" s="16">
        <f>VLOOKUP($A$96,'集計'!$A$4:$EP$61,130,FALSE)</f>
        <v>9.4</v>
      </c>
      <c r="AI96" s="15">
        <f>VLOOKUP($A$96,'集計'!$A$4:$EP$61,134,FALSE)</f>
        <v>15</v>
      </c>
      <c r="AJ96" s="16">
        <f>VLOOKUP($A$96,'集計'!$A$4:$EP$61,138,FALSE)</f>
        <v>679.5</v>
      </c>
      <c r="AK96" s="15">
        <f>VLOOKUP($A$96,'集計'!$A$4:$EP$61,142,FALSE)</f>
        <v>1540</v>
      </c>
      <c r="AL96" s="16">
        <f>VLOOKUP($A$96,'集計'!$A$4:$EP$61,146,FALSE)</f>
        <v>2474.78</v>
      </c>
    </row>
    <row r="97" spans="1:38" ht="13.5">
      <c r="A97" s="32" t="s">
        <v>22</v>
      </c>
      <c r="B97" s="15">
        <f>VLOOKUP($A$96,'集計'!$A$4:$EP$61,3,FALSE)</f>
        <v>1155</v>
      </c>
      <c r="C97" s="16">
        <f>VLOOKUP($A$96,'集計'!$A$4:$EP$61,7,FALSE)</f>
        <v>284.39</v>
      </c>
      <c r="D97" s="15">
        <f>VLOOKUP($A$96,'集計'!$A$4:$EP$61,11,FALSE)</f>
        <v>119</v>
      </c>
      <c r="E97" s="16">
        <f>VLOOKUP($A$96,'集計'!$A$4:$EP$61,15,FALSE)</f>
        <v>211.9</v>
      </c>
      <c r="F97" s="15">
        <f>VLOOKUP($A$96,'集計'!$A$4:$EP$61,19,FALSE)</f>
        <v>9</v>
      </c>
      <c r="G97" s="16">
        <f>VLOOKUP($A$96,'集計'!$A$4:$EP$61,23,FALSE)</f>
        <v>47.7</v>
      </c>
      <c r="H97" s="15">
        <f>VLOOKUP($A$96,'集計'!$A$4:$EP$61,27,FALSE)</f>
        <v>9</v>
      </c>
      <c r="I97" s="16">
        <f>VLOOKUP($A$96,'集計'!$A$4:$EP$61,31,FALSE)</f>
        <v>169.7</v>
      </c>
      <c r="J97" s="15">
        <f>VLOOKUP($A$96,'集計'!$A$4:$EP$61,35,FALSE)</f>
        <v>5</v>
      </c>
      <c r="K97" s="16">
        <f>VLOOKUP($A$96,'集計'!$A$4:$EP$61,39,FALSE)</f>
        <v>63.7</v>
      </c>
      <c r="L97" s="15">
        <f>VLOOKUP($A$96,'集計'!$A$4:$EP$61,43,FALSE)</f>
        <v>0</v>
      </c>
      <c r="M97" s="16">
        <f>VLOOKUP($A$96,'集計'!$A$4:$EP$61,47,FALSE)</f>
        <v>0</v>
      </c>
      <c r="N97" s="15">
        <f>VLOOKUP($A$96,'集計'!$A$4:$EP$61,51,FALSE)</f>
        <v>3</v>
      </c>
      <c r="O97" s="16">
        <f>VLOOKUP($A$96,'集計'!$A$4:$EP$61,55,FALSE)</f>
        <v>4.8</v>
      </c>
      <c r="P97" s="15">
        <f>VLOOKUP($A$96,'集計'!$A$4:$EP$61,59,FALSE)</f>
        <v>2</v>
      </c>
      <c r="Q97" s="16">
        <f>VLOOKUP($A$96,'集計'!$A$4:$EP$61,63,FALSE)</f>
        <v>123.5</v>
      </c>
      <c r="R97" s="15">
        <f>VLOOKUP($A$96,'集計'!$A$4:$EP$61,67,FALSE)</f>
        <v>1302</v>
      </c>
      <c r="S97" s="16">
        <f>VLOOKUP($A$96,'集計'!$A$4:$EP$61,71,FALSE)</f>
        <v>905.69</v>
      </c>
      <c r="T97" s="32" t="s">
        <v>22</v>
      </c>
      <c r="U97" s="15">
        <f>VLOOKUP($A$96,'集計'!$A$4:$EP$61,75,FALSE)</f>
        <v>1125</v>
      </c>
      <c r="V97" s="16">
        <f>VLOOKUP($A$96,'集計'!$A$4:$EP$61,79,FALSE)</f>
        <v>278.45</v>
      </c>
      <c r="W97" s="15">
        <f>VLOOKUP($A$96,'集計'!$A$4:$EP$61,83,FALSE)</f>
        <v>115</v>
      </c>
      <c r="X97" s="16">
        <f>VLOOKUP($A$96,'集計'!$A$4:$EP$61,87,FALSE)</f>
        <v>206.1</v>
      </c>
      <c r="Y97" s="15">
        <f>VLOOKUP($A$96,'集計'!$A$4:$EP$61,91,FALSE)</f>
        <v>8</v>
      </c>
      <c r="Z97" s="16">
        <f>VLOOKUP($A$96,'集計'!$A$4:$EP$61,95,FALSE)</f>
        <v>45.6</v>
      </c>
      <c r="AA97" s="15">
        <f>VLOOKUP($A$96,'集計'!$A$4:$EP$61,99,FALSE)</f>
        <v>8</v>
      </c>
      <c r="AB97" s="16">
        <f>VLOOKUP($A$96,'集計'!$A$4:$EP$61,103,FALSE)</f>
        <v>117.74</v>
      </c>
      <c r="AC97" s="15">
        <f>VLOOKUP($A$96,'集計'!$A$4:$EP$61,107,FALSE)</f>
        <v>5</v>
      </c>
      <c r="AD97" s="16">
        <f>VLOOKUP($A$96,'集計'!$A$4:$EP$61,111,FALSE)</f>
        <v>61.73</v>
      </c>
      <c r="AE97" s="15">
        <f>VLOOKUP($A$96,'集計'!$A$4:$EP$61,115,FALSE)</f>
        <v>0</v>
      </c>
      <c r="AF97" s="16">
        <f>VLOOKUP($A$96,'集計'!$A$4:$EP$61,119,FALSE)</f>
        <v>0</v>
      </c>
      <c r="AG97" s="15">
        <f>VLOOKUP($A$96,'集計'!$A$4:$EP$61,123,FALSE)</f>
        <v>3</v>
      </c>
      <c r="AH97" s="16">
        <f>VLOOKUP($A$96,'集計'!$A$4:$EP$61,127,FALSE)</f>
        <v>4.8</v>
      </c>
      <c r="AI97" s="15">
        <f>VLOOKUP($A$96,'集計'!$A$4:$EP$61,131,FALSE)</f>
        <v>2</v>
      </c>
      <c r="AJ97" s="16">
        <f>VLOOKUP($A$96,'集計'!$A$4:$EP$61,135,FALSE)</f>
        <v>118</v>
      </c>
      <c r="AK97" s="15">
        <f>VLOOKUP($A$96,'集計'!$A$4:$EP$61,139,FALSE)</f>
        <v>1266</v>
      </c>
      <c r="AL97" s="16">
        <f>VLOOKUP($A$96,'集計'!$A$4:$EP$61,143,FALSE)</f>
        <v>832.42</v>
      </c>
    </row>
    <row r="98" spans="1:38" ht="13.5">
      <c r="A98" s="32" t="s">
        <v>23</v>
      </c>
      <c r="B98" s="15">
        <f>VLOOKUP($A$96,'集計'!$A$4:$EP$61,4,FALSE)</f>
        <v>101</v>
      </c>
      <c r="C98" s="16">
        <f>VLOOKUP($A$96,'集計'!$A$4:$EP$61,8,FALSE)</f>
        <v>26.03</v>
      </c>
      <c r="D98" s="15">
        <f>VLOOKUP($A$96,'集計'!$A$4:$EP$61,(12),FALSE)</f>
        <v>24</v>
      </c>
      <c r="E98" s="16">
        <f>VLOOKUP($A$96,'集計'!$A$4:$EP$61,16,FALSE)</f>
        <v>43.3</v>
      </c>
      <c r="F98" s="15">
        <f>VLOOKUP($A$96,'集計'!$A$4:$EP$61,20,FALSE)</f>
        <v>2</v>
      </c>
      <c r="G98" s="16">
        <f>VLOOKUP($A$96,'集計'!$A$4:$EP$61,24,FALSE)</f>
        <v>12.1</v>
      </c>
      <c r="H98" s="15">
        <f>VLOOKUP($A$96,'集計'!$A$4:$EP$61,28,FALSE)</f>
        <v>2</v>
      </c>
      <c r="I98" s="16">
        <f>VLOOKUP($A$96,'集計'!$A$4:$EP$61,32,FALSE)</f>
        <v>50.2</v>
      </c>
      <c r="J98" s="15">
        <f>VLOOKUP($A$96,'集計'!$A$4:$EP$61,36,FALSE)</f>
        <v>2</v>
      </c>
      <c r="K98" s="16">
        <f>VLOOKUP($A$96,'集計'!$A$4:$EP$61,40,FALSE)</f>
        <v>39.5</v>
      </c>
      <c r="L98" s="15">
        <f>VLOOKUP($A$96,'集計'!$A$4:$EP$61,44,FALSE)</f>
        <v>0</v>
      </c>
      <c r="M98" s="16">
        <f>VLOOKUP($A$96,'集計'!$A$4:$EP$61,48,FALSE)</f>
        <v>0</v>
      </c>
      <c r="N98" s="15">
        <f>VLOOKUP($A$96,'集計'!$A$4:$EP$61,52,FALSE)</f>
        <v>1</v>
      </c>
      <c r="O98" s="16">
        <f>VLOOKUP($A$96,'集計'!$A$4:$EP$61,56,FALSE)</f>
        <v>1.1</v>
      </c>
      <c r="P98" s="15">
        <f>VLOOKUP($A$96,'集計'!$A$4:$EP$61,60,FALSE)</f>
        <v>1</v>
      </c>
      <c r="Q98" s="16">
        <f>VLOOKUP($A$96,'集計'!$A$4:$EP$61,64,FALSE)</f>
        <v>80</v>
      </c>
      <c r="R98" s="15">
        <f>VLOOKUP($A$96,'集計'!$A$4:$EP$61,68,FALSE)</f>
        <v>133</v>
      </c>
      <c r="S98" s="16">
        <f>VLOOKUP($A$96,'集計'!$A$4:$EP$61,72,FALSE)</f>
        <v>252.23</v>
      </c>
      <c r="T98" s="32" t="s">
        <v>23</v>
      </c>
      <c r="U98" s="15">
        <f>VLOOKUP($A$96,'集計'!$A$4:$EP$61,76,FALSE)</f>
        <v>98</v>
      </c>
      <c r="V98" s="16">
        <f>VLOOKUP($A$96,'集計'!$A$4:$EP$61,80,FALSE)</f>
        <v>25.17</v>
      </c>
      <c r="W98" s="15">
        <f>VLOOKUP($A$96,'集計'!$A$4:$EP$61,84,FALSE)</f>
        <v>23</v>
      </c>
      <c r="X98" s="16">
        <f>VLOOKUP($A$96,'集計'!$A$4:$EP$61,88,FALSE)</f>
        <v>42.4</v>
      </c>
      <c r="Y98" s="15">
        <f>VLOOKUP($A$96,'集計'!$A$4:$EP$61,92,FALSE)</f>
        <v>2</v>
      </c>
      <c r="Z98" s="16">
        <f>VLOOKUP($A$96,'集計'!$A$4:$EP$61,96,FALSE)</f>
        <v>12.1</v>
      </c>
      <c r="AA98" s="15">
        <f>VLOOKUP($A$96,'集計'!$A$4:$EP$61,100,FALSE)</f>
        <v>2</v>
      </c>
      <c r="AB98" s="16">
        <f>VLOOKUP($A$96,'集計'!$A$4:$EP$61,104,FALSE)</f>
        <v>50.2</v>
      </c>
      <c r="AC98" s="15">
        <f>VLOOKUP($A$96,'集計'!$A$4:$EP$61,108,FALSE)</f>
        <v>1</v>
      </c>
      <c r="AD98" s="16">
        <f>VLOOKUP($A$96,'集計'!$A$4:$EP$61,112,FALSE)</f>
        <v>29.5</v>
      </c>
      <c r="AE98" s="15">
        <f>VLOOKUP($A$96,'集計'!$A$4:$EP$61,116,FALSE)</f>
        <v>0</v>
      </c>
      <c r="AF98" s="16">
        <f>VLOOKUP($A$96,'集計'!$A$4:$EP$61,120,FALSE)</f>
        <v>0</v>
      </c>
      <c r="AG98" s="15">
        <f>VLOOKUP($A$96,'集計'!$A$4:$EP$61,124,FALSE)</f>
        <v>1</v>
      </c>
      <c r="AH98" s="16">
        <f>VLOOKUP($A$96,'集計'!$A$4:$EP$61,128,FALSE)</f>
        <v>1</v>
      </c>
      <c r="AI98" s="15">
        <f>VLOOKUP($A$96,'集計'!$A$4:$EP$61,132,FALSE)</f>
        <v>1</v>
      </c>
      <c r="AJ98" s="16">
        <f>VLOOKUP($A$96,'集計'!$A$4:$EP$61,136,FALSE)</f>
        <v>46.1</v>
      </c>
      <c r="AK98" s="15">
        <f>VLOOKUP($A$96,'集計'!$A$4:$EP$61,140,FALSE)</f>
        <v>128</v>
      </c>
      <c r="AL98" s="16">
        <f>VLOOKUP($A$96,'集計'!$A$4:$EP$61,144,FALSE)</f>
        <v>206.47</v>
      </c>
    </row>
    <row r="99" spans="1:38" ht="13.5">
      <c r="A99" s="32" t="s">
        <v>24</v>
      </c>
      <c r="B99" s="15">
        <f>VLOOKUP($A$96,'集計'!$A$4:$EP$61,5,FALSE)</f>
        <v>41</v>
      </c>
      <c r="C99" s="16">
        <f>VLOOKUP($A$96,'集計'!$A$4:$EP$61,9,FALSE)</f>
        <v>11.69</v>
      </c>
      <c r="D99" s="15">
        <f>VLOOKUP($A$96,'集計'!$A$4:$EP$61,13,FALSE)</f>
        <v>22</v>
      </c>
      <c r="E99" s="16">
        <f>VLOOKUP($A$96,'集計'!$A$4:$EP$61,17,FALSE)</f>
        <v>50.34</v>
      </c>
      <c r="F99" s="15">
        <f>VLOOKUP($A$96,'集計'!$A$4:$EP$61,21,FALSE)</f>
        <v>20</v>
      </c>
      <c r="G99" s="16">
        <f>VLOOKUP($A$96,'集計'!$A$4:$EP$61,25,FALSE)</f>
        <v>101.6</v>
      </c>
      <c r="H99" s="15">
        <f>VLOOKUP($A$96,'集計'!$A$4:$EP$61,29,FALSE)</f>
        <v>45</v>
      </c>
      <c r="I99" s="16">
        <f>VLOOKUP($A$96,'集計'!$A$4:$EP$61,33,FALSE)</f>
        <v>934.6</v>
      </c>
      <c r="J99" s="15">
        <f>VLOOKUP($A$96,'集計'!$A$4:$EP$61,37,FALSE)</f>
        <v>7</v>
      </c>
      <c r="K99" s="16">
        <f>VLOOKUP($A$96,'集計'!$A$4:$EP$61,41,FALSE)</f>
        <v>132.5</v>
      </c>
      <c r="L99" s="15">
        <f>VLOOKUP($A$96,'集計'!$A$4:$EP$61,45,FALSE)</f>
        <v>1</v>
      </c>
      <c r="M99" s="16">
        <f>VLOOKUP($A$96,'集計'!$A$4:$EP$61,49,FALSE)</f>
        <v>9.2</v>
      </c>
      <c r="N99" s="15">
        <f>VLOOKUP($A$96,'集計'!$A$4:$EP$61,53,FALSE)</f>
        <v>2</v>
      </c>
      <c r="O99" s="16">
        <f>VLOOKUP($A$96,'集計'!$A$4:$EP$61,57,FALSE)</f>
        <v>3.6</v>
      </c>
      <c r="P99" s="15">
        <f>VLOOKUP($A$96,'集計'!$A$4:$EP$61,61,FALSE)</f>
        <v>12</v>
      </c>
      <c r="Q99" s="16">
        <f>VLOOKUP($A$96,'集計'!$A$4:$EP$61,65,FALSE)</f>
        <v>756.3</v>
      </c>
      <c r="R99" s="15">
        <f>VLOOKUP($A$96,'集計'!$A$4:$EP$61,69,FALSE)</f>
        <v>150</v>
      </c>
      <c r="S99" s="16">
        <f>VLOOKUP($A$96,'集計'!$A$4:$EP$61,73,FALSE)</f>
        <v>1999.83</v>
      </c>
      <c r="T99" s="32" t="s">
        <v>24</v>
      </c>
      <c r="U99" s="15">
        <f>VLOOKUP($A$96,'集計'!$A$4:$EP$61,77,FALSE)</f>
        <v>40</v>
      </c>
      <c r="V99" s="16">
        <f>VLOOKUP($A$96,'集計'!$A$4:$EP$61,81,FALSE)</f>
        <v>11.05</v>
      </c>
      <c r="W99" s="15">
        <f>VLOOKUP($A$96,'集計'!$A$4:$EP$61,85,FALSE)</f>
        <v>20</v>
      </c>
      <c r="X99" s="16">
        <f>VLOOKUP($A$96,'集計'!$A$4:$EP$61,89,FALSE)</f>
        <v>36.54</v>
      </c>
      <c r="Y99" s="15">
        <f>VLOOKUP($A$96,'集計'!$A$4:$EP$61,93,FALSE)</f>
        <v>20</v>
      </c>
      <c r="Z99" s="16">
        <f>VLOOKUP($A$96,'集計'!$A$4:$EP$61,97,FALSE)</f>
        <v>92.7</v>
      </c>
      <c r="AA99" s="15">
        <f>VLOOKUP($A$96,'集計'!$A$4:$EP$61,101,FALSE)</f>
        <v>44</v>
      </c>
      <c r="AB99" s="16">
        <f>VLOOKUP($A$96,'集計'!$A$4:$EP$61,105,FALSE)</f>
        <v>647.7</v>
      </c>
      <c r="AC99" s="15">
        <f>VLOOKUP($A$96,'集計'!$A$4:$EP$61,109,FALSE)</f>
        <v>7</v>
      </c>
      <c r="AD99" s="16">
        <f>VLOOKUP($A$96,'集計'!$A$4:$EP$61,113,FALSE)</f>
        <v>120.2</v>
      </c>
      <c r="AE99" s="15">
        <f>VLOOKUP($A$96,'集計'!$A$4:$EP$61,117,FALSE)</f>
        <v>1</v>
      </c>
      <c r="AF99" s="16">
        <f>VLOOKUP($A$96,'集計'!$A$4:$EP$61,121,FALSE)</f>
        <v>8.7</v>
      </c>
      <c r="AG99" s="15">
        <f>VLOOKUP($A$96,'集計'!$A$4:$EP$61,125,FALSE)</f>
        <v>2</v>
      </c>
      <c r="AH99" s="16">
        <f>VLOOKUP($A$96,'集計'!$A$4:$EP$61,129,FALSE)</f>
        <v>3.6</v>
      </c>
      <c r="AI99" s="15">
        <f>VLOOKUP($A$96,'集計'!$A$4:$EP$61,133,FALSE)</f>
        <v>12</v>
      </c>
      <c r="AJ99" s="16">
        <f>VLOOKUP($A$96,'集計'!$A$4:$EP$61,137,FALSE)</f>
        <v>515.4</v>
      </c>
      <c r="AK99" s="15">
        <f>VLOOKUP($A$96,'集計'!$A$4:$EP$61,141,FALSE)</f>
        <v>146</v>
      </c>
      <c r="AL99" s="16">
        <f>VLOOKUP($A$96,'集計'!$A$4:$EP$61,145,FALSE)</f>
        <v>1435.89</v>
      </c>
    </row>
    <row r="100" spans="1:38" ht="13.5">
      <c r="A100" s="32" t="s">
        <v>36</v>
      </c>
      <c r="B100" s="15">
        <f>VLOOKUP($A$100,'集計'!$A$4:$EP$61,6,FALSE)</f>
        <v>1753</v>
      </c>
      <c r="C100" s="16">
        <f>VLOOKUP($A$100,'集計'!$A$4:$EP$61,10,FALSE)</f>
        <v>413.45</v>
      </c>
      <c r="D100" s="15">
        <f>VLOOKUP($A$100,'集計'!$A$4:$EP$61,14,FALSE)</f>
        <v>242</v>
      </c>
      <c r="E100" s="16">
        <f>VLOOKUP($A$100,'集計'!$A$4:$EP$61,18,FALSE)</f>
        <v>461.3</v>
      </c>
      <c r="F100" s="15">
        <f>VLOOKUP($A$100,'集計'!$A$4:$EP$61,22,FALSE)</f>
        <v>53</v>
      </c>
      <c r="G100" s="16">
        <f>VLOOKUP($A$100,'集計'!$A$4:$EP$61,26,FALSE)</f>
        <v>286.5</v>
      </c>
      <c r="H100" s="15">
        <f>VLOOKUP($A$100,'集計'!$A$4:$EP$61,30,FALSE)</f>
        <v>37</v>
      </c>
      <c r="I100" s="16">
        <f>VLOOKUP($A$100,'集計'!$A$4:$EP$61,34,FALSE)</f>
        <v>818.3</v>
      </c>
      <c r="J100" s="15">
        <f>VLOOKUP($A$100,'集計'!$A$4:$EP$61,38,FALSE)</f>
        <v>20</v>
      </c>
      <c r="K100" s="16">
        <f>VLOOKUP($A$100,'集計'!$A$4:$EP$61,42,FALSE)</f>
        <v>322.4</v>
      </c>
      <c r="L100" s="15">
        <f>VLOOKUP($A$100,'集計'!$A$4:$EP$61,46,FALSE)</f>
        <v>8</v>
      </c>
      <c r="M100" s="16">
        <f>VLOOKUP($A$100,'集計'!$A$4:$EP$61,50,FALSE)</f>
        <v>28.4</v>
      </c>
      <c r="N100" s="15">
        <f>VLOOKUP($A$100,'集計'!$A$4:$EP$61,54,FALSE)</f>
        <v>14</v>
      </c>
      <c r="O100" s="16">
        <f>VLOOKUP($A$100,'集計'!$A$4:$EP$61,58,FALSE)</f>
        <v>66.2</v>
      </c>
      <c r="P100" s="15">
        <f>VLOOKUP($A$100,'集計'!$A$4:$EP$61,62,FALSE)</f>
        <v>6</v>
      </c>
      <c r="Q100" s="16">
        <f>VLOOKUP($A$100,'集計'!$A$4:$EP$61,66,FALSE)</f>
        <v>497.2</v>
      </c>
      <c r="R100" s="15">
        <f>VLOOKUP($A$100,'集計'!$A$4:$EP$61,70,FALSE)</f>
        <v>2133</v>
      </c>
      <c r="S100" s="16">
        <f>VLOOKUP($A$100,'集計'!$A$4:$EP$61,74,FALSE)</f>
        <v>2893.75</v>
      </c>
      <c r="T100" s="32" t="s">
        <v>36</v>
      </c>
      <c r="U100" s="15">
        <f>VLOOKUP($A$100,'集計'!$A$4:$EP$61,78,FALSE)</f>
        <v>1709</v>
      </c>
      <c r="V100" s="16">
        <f>VLOOKUP($A$100,'集計'!$A$4:$EP$61,82,FALSE)</f>
        <v>400.05</v>
      </c>
      <c r="W100" s="15">
        <f>VLOOKUP($A$100,'集計'!$A$4:$EP$61,86,FALSE)</f>
        <v>224</v>
      </c>
      <c r="X100" s="16">
        <f>VLOOKUP($A$100,'集計'!$A$4:$EP$61,90,FALSE)</f>
        <v>416.1</v>
      </c>
      <c r="Y100" s="15">
        <f>VLOOKUP($A$100,'集計'!$A$4:$EP$61,94,FALSE)</f>
        <v>52</v>
      </c>
      <c r="Z100" s="16">
        <f>VLOOKUP($A$100,'集計'!$A$4:$EP$61,98,FALSE)</f>
        <v>261.3</v>
      </c>
      <c r="AA100" s="15">
        <f>VLOOKUP($A$100,'集計'!$A$4:$EP$61,102,FALSE)</f>
        <v>35</v>
      </c>
      <c r="AB100" s="16">
        <f>VLOOKUP($A$100,'集計'!$A$4:$EP$61,106,FALSE)</f>
        <v>684.9</v>
      </c>
      <c r="AC100" s="15">
        <f>VLOOKUP($A$100,'集計'!$A$4:$EP$61,110,FALSE)</f>
        <v>20</v>
      </c>
      <c r="AD100" s="16">
        <f>VLOOKUP($A$100,'集計'!$A$4:$EP$61,114,FALSE)</f>
        <v>296.6</v>
      </c>
      <c r="AE100" s="15">
        <f>VLOOKUP($A$100,'集計'!$A$4:$EP$61,118,FALSE)</f>
        <v>7</v>
      </c>
      <c r="AF100" s="16">
        <f>VLOOKUP($A$100,'集計'!$A$4:$EP$61,122,FALSE)</f>
        <v>20.4</v>
      </c>
      <c r="AG100" s="15">
        <f>VLOOKUP($A$100,'集計'!$A$4:$EP$61,126,FALSE)</f>
        <v>14</v>
      </c>
      <c r="AH100" s="16">
        <f>VLOOKUP($A$100,'集計'!$A$4:$EP$61,130,FALSE)</f>
        <v>48.5</v>
      </c>
      <c r="AI100" s="15">
        <f>VLOOKUP($A$100,'集計'!$A$4:$EP$61,134,FALSE)</f>
        <v>6</v>
      </c>
      <c r="AJ100" s="16">
        <f>VLOOKUP($A$100,'集計'!$A$4:$EP$61,138,FALSE)</f>
        <v>312.9</v>
      </c>
      <c r="AK100" s="15">
        <f>VLOOKUP($A$100,'集計'!$A$4:$EP$61,142,FALSE)</f>
        <v>2067</v>
      </c>
      <c r="AL100" s="16">
        <f>VLOOKUP($A$100,'集計'!$A$4:$EP$61,146,FALSE)</f>
        <v>2440.75</v>
      </c>
    </row>
    <row r="101" spans="1:38" ht="13.5">
      <c r="A101" s="32" t="s">
        <v>22</v>
      </c>
      <c r="B101" s="15">
        <f>VLOOKUP($A$100,'集計'!$A$4:$EP$61,3,FALSE)</f>
        <v>1458</v>
      </c>
      <c r="C101" s="16">
        <f>VLOOKUP($A$100,'集計'!$A$4:$EP$61,7,FALSE)</f>
        <v>337.19</v>
      </c>
      <c r="D101" s="15">
        <f>VLOOKUP($A$100,'集計'!$A$4:$EP$61,11,FALSE)</f>
        <v>173</v>
      </c>
      <c r="E101" s="16">
        <f>VLOOKUP($A$100,'集計'!$A$4:$EP$61,15,FALSE)</f>
        <v>322.2</v>
      </c>
      <c r="F101" s="15">
        <f>VLOOKUP($A$100,'集計'!$A$4:$EP$61,19,FALSE)</f>
        <v>24</v>
      </c>
      <c r="G101" s="16">
        <f>VLOOKUP($A$100,'集計'!$A$4:$EP$61,23,FALSE)</f>
        <v>113.9</v>
      </c>
      <c r="H101" s="15">
        <f>VLOOKUP($A$100,'集計'!$A$4:$EP$61,27,FALSE)</f>
        <v>7</v>
      </c>
      <c r="I101" s="16">
        <f>VLOOKUP($A$100,'集計'!$A$4:$EP$61,31,FALSE)</f>
        <v>144.2</v>
      </c>
      <c r="J101" s="15">
        <f>VLOOKUP($A$100,'集計'!$A$4:$EP$61,35,FALSE)</f>
        <v>12</v>
      </c>
      <c r="K101" s="16">
        <f>VLOOKUP($A$100,'集計'!$A$4:$EP$61,39,FALSE)</f>
        <v>207</v>
      </c>
      <c r="L101" s="15">
        <f>VLOOKUP($A$100,'集計'!$A$4:$EP$61,43,FALSE)</f>
        <v>2</v>
      </c>
      <c r="M101" s="16">
        <f>VLOOKUP($A$100,'集計'!$A$4:$EP$61,47,FALSE)</f>
        <v>6.4</v>
      </c>
      <c r="N101" s="15">
        <f>VLOOKUP($A$100,'集計'!$A$4:$EP$61,51,FALSE)</f>
        <v>10</v>
      </c>
      <c r="O101" s="16">
        <f>VLOOKUP($A$100,'集計'!$A$4:$EP$61,55,FALSE)</f>
        <v>40.8</v>
      </c>
      <c r="P101" s="15">
        <f>VLOOKUP($A$100,'集計'!$A$4:$EP$61,59,FALSE)</f>
        <v>2</v>
      </c>
      <c r="Q101" s="16">
        <f>VLOOKUP($A$100,'集計'!$A$4:$EP$61,63,FALSE)</f>
        <v>125.6</v>
      </c>
      <c r="R101" s="15">
        <f>VLOOKUP($A$100,'集計'!$A$4:$EP$61,67,FALSE)</f>
        <v>1688</v>
      </c>
      <c r="S101" s="16">
        <f>VLOOKUP($A$100,'集計'!$A$4:$EP$61,71,FALSE)</f>
        <v>1297.29</v>
      </c>
      <c r="T101" s="32" t="s">
        <v>22</v>
      </c>
      <c r="U101" s="15">
        <f>VLOOKUP($A$100,'集計'!$A$4:$EP$61,75,FALSE)</f>
        <v>1438</v>
      </c>
      <c r="V101" s="16">
        <f>VLOOKUP($A$100,'集計'!$A$4:$EP$61,79,FALSE)</f>
        <v>332.23</v>
      </c>
      <c r="W101" s="15">
        <f>VLOOKUP($A$100,'集計'!$A$4:$EP$61,83,FALSE)</f>
        <v>162</v>
      </c>
      <c r="X101" s="16">
        <f>VLOOKUP($A$100,'集計'!$A$4:$EP$61,87,FALSE)</f>
        <v>296.1</v>
      </c>
      <c r="Y101" s="15">
        <f>VLOOKUP($A$100,'集計'!$A$4:$EP$61,91,FALSE)</f>
        <v>24</v>
      </c>
      <c r="Z101" s="16">
        <f>VLOOKUP($A$100,'集計'!$A$4:$EP$61,95,FALSE)</f>
        <v>109.1</v>
      </c>
      <c r="AA101" s="15">
        <f>VLOOKUP($A$100,'集計'!$A$4:$EP$61,99,FALSE)</f>
        <v>7</v>
      </c>
      <c r="AB101" s="16">
        <f>VLOOKUP($A$100,'集計'!$A$4:$EP$61,103,FALSE)</f>
        <v>131.7</v>
      </c>
      <c r="AC101" s="15">
        <f>VLOOKUP($A$100,'集計'!$A$4:$EP$61,107,FALSE)</f>
        <v>12</v>
      </c>
      <c r="AD101" s="16">
        <f>VLOOKUP($A$100,'集計'!$A$4:$EP$61,111,FALSE)</f>
        <v>187.2</v>
      </c>
      <c r="AE101" s="15">
        <f>VLOOKUP($A$100,'集計'!$A$4:$EP$61,115,FALSE)</f>
        <v>2</v>
      </c>
      <c r="AF101" s="16">
        <f>VLOOKUP($A$100,'集計'!$A$4:$EP$61,119,FALSE)</f>
        <v>5.8</v>
      </c>
      <c r="AG101" s="15">
        <f>VLOOKUP($A$100,'集計'!$A$4:$EP$61,123,FALSE)</f>
        <v>10</v>
      </c>
      <c r="AH101" s="16">
        <f>VLOOKUP($A$100,'集計'!$A$4:$EP$61,127,FALSE)</f>
        <v>35.8</v>
      </c>
      <c r="AI101" s="15">
        <f>VLOOKUP($A$100,'集計'!$A$4:$EP$61,131,FALSE)</f>
        <v>2</v>
      </c>
      <c r="AJ101" s="16">
        <f>VLOOKUP($A$100,'集計'!$A$4:$EP$61,135,FALSE)</f>
        <v>122.1</v>
      </c>
      <c r="AK101" s="15">
        <f>VLOOKUP($A$100,'集計'!$A$4:$EP$61,139,FALSE)</f>
        <v>1657</v>
      </c>
      <c r="AL101" s="16">
        <f>VLOOKUP($A$100,'集計'!$A$4:$EP$61,143,FALSE)</f>
        <v>1220.03</v>
      </c>
    </row>
    <row r="102" spans="1:38" ht="13.5">
      <c r="A102" s="32" t="s">
        <v>23</v>
      </c>
      <c r="B102" s="15">
        <f>VLOOKUP($A$100,'集計'!$A$4:$EP$61,4,FALSE)</f>
        <v>257</v>
      </c>
      <c r="C102" s="16">
        <f>VLOOKUP($A$100,'集計'!$A$4:$EP$61,8,FALSE)</f>
        <v>67.37</v>
      </c>
      <c r="D102" s="15">
        <f>VLOOKUP($A$100,'集計'!$A$4:$EP$61,(12),FALSE)</f>
        <v>59</v>
      </c>
      <c r="E102" s="16">
        <f>VLOOKUP($A$100,'集計'!$A$4:$EP$61,16,FALSE)</f>
        <v>115.6</v>
      </c>
      <c r="F102" s="15">
        <f>VLOOKUP($A$100,'集計'!$A$4:$EP$61,20,FALSE)</f>
        <v>18</v>
      </c>
      <c r="G102" s="16">
        <f>VLOOKUP($A$100,'集計'!$A$4:$EP$61,24,FALSE)</f>
        <v>104.7</v>
      </c>
      <c r="H102" s="15">
        <f>VLOOKUP($A$100,'集計'!$A$4:$EP$61,28,FALSE)</f>
        <v>8</v>
      </c>
      <c r="I102" s="16">
        <f>VLOOKUP($A$100,'集計'!$A$4:$EP$61,32,FALSE)</f>
        <v>131</v>
      </c>
      <c r="J102" s="15">
        <f>VLOOKUP($A$100,'集計'!$A$4:$EP$61,36,FALSE)</f>
        <v>2</v>
      </c>
      <c r="K102" s="16">
        <f>VLOOKUP($A$100,'集計'!$A$4:$EP$61,40,FALSE)</f>
        <v>23.5</v>
      </c>
      <c r="L102" s="15">
        <f>VLOOKUP($A$100,'集計'!$A$4:$EP$61,44,FALSE)</f>
        <v>1</v>
      </c>
      <c r="M102" s="16">
        <f>VLOOKUP($A$100,'集計'!$A$4:$EP$61,48,FALSE)</f>
        <v>4.2</v>
      </c>
      <c r="N102" s="15">
        <f>VLOOKUP($A$100,'集計'!$A$4:$EP$61,52,FALSE)</f>
        <v>2</v>
      </c>
      <c r="O102" s="16">
        <f>VLOOKUP($A$100,'集計'!$A$4:$EP$61,56,FALSE)</f>
        <v>4.1</v>
      </c>
      <c r="P102" s="15">
        <f>VLOOKUP($A$100,'集計'!$A$4:$EP$61,60,FALSE)</f>
        <v>1</v>
      </c>
      <c r="Q102" s="16">
        <f>VLOOKUP($A$100,'集計'!$A$4:$EP$61,64,FALSE)</f>
        <v>45</v>
      </c>
      <c r="R102" s="15">
        <f>VLOOKUP($A$100,'集計'!$A$4:$EP$61,68,FALSE)</f>
        <v>348</v>
      </c>
      <c r="S102" s="16">
        <f>VLOOKUP($A$100,'集計'!$A$4:$EP$61,72,FALSE)</f>
        <v>495.47</v>
      </c>
      <c r="T102" s="32" t="s">
        <v>23</v>
      </c>
      <c r="U102" s="15">
        <f>VLOOKUP($A$100,'集計'!$A$4:$EP$61,76,FALSE)</f>
        <v>236</v>
      </c>
      <c r="V102" s="16">
        <f>VLOOKUP($A$100,'集計'!$A$4:$EP$61,80,FALSE)</f>
        <v>60.1</v>
      </c>
      <c r="W102" s="15">
        <f>VLOOKUP($A$100,'集計'!$A$4:$EP$61,84,FALSE)</f>
        <v>54</v>
      </c>
      <c r="X102" s="16">
        <f>VLOOKUP($A$100,'集計'!$A$4:$EP$61,88,FALSE)</f>
        <v>104.5</v>
      </c>
      <c r="Y102" s="15">
        <f>VLOOKUP($A$100,'集計'!$A$4:$EP$61,92,FALSE)</f>
        <v>17</v>
      </c>
      <c r="Z102" s="16">
        <f>VLOOKUP($A$100,'集計'!$A$4:$EP$61,96,FALSE)</f>
        <v>91</v>
      </c>
      <c r="AA102" s="15">
        <f>VLOOKUP($A$100,'集計'!$A$4:$EP$61,100,FALSE)</f>
        <v>7</v>
      </c>
      <c r="AB102" s="16">
        <f>VLOOKUP($A$100,'集計'!$A$4:$EP$61,104,FALSE)</f>
        <v>128.4</v>
      </c>
      <c r="AC102" s="15">
        <f>VLOOKUP($A$100,'集計'!$A$4:$EP$61,108,FALSE)</f>
        <v>2</v>
      </c>
      <c r="AD102" s="16">
        <f>VLOOKUP($A$100,'集計'!$A$4:$EP$61,112,FALSE)</f>
        <v>20.6</v>
      </c>
      <c r="AE102" s="15">
        <f>VLOOKUP($A$100,'集計'!$A$4:$EP$61,116,FALSE)</f>
        <v>1</v>
      </c>
      <c r="AF102" s="16">
        <f>VLOOKUP($A$100,'集計'!$A$4:$EP$61,120,FALSE)</f>
        <v>4.2</v>
      </c>
      <c r="AG102" s="15">
        <f>VLOOKUP($A$100,'集計'!$A$4:$EP$61,124,FALSE)</f>
        <v>2</v>
      </c>
      <c r="AH102" s="16">
        <f>VLOOKUP($A$100,'集計'!$A$4:$EP$61,128,FALSE)</f>
        <v>4.1</v>
      </c>
      <c r="AI102" s="15">
        <f>VLOOKUP($A$100,'集計'!$A$4:$EP$61,132,FALSE)</f>
        <v>1</v>
      </c>
      <c r="AJ102" s="16">
        <f>VLOOKUP($A$100,'集計'!$A$4:$EP$61,136,FALSE)</f>
        <v>45</v>
      </c>
      <c r="AK102" s="15">
        <f>VLOOKUP($A$100,'集計'!$A$4:$EP$61,140,FALSE)</f>
        <v>320</v>
      </c>
      <c r="AL102" s="16">
        <f>VLOOKUP($A$100,'集計'!$A$4:$EP$61,144,FALSE)</f>
        <v>457.9</v>
      </c>
    </row>
    <row r="103" spans="1:38" ht="13.5">
      <c r="A103" s="32" t="s">
        <v>24</v>
      </c>
      <c r="B103" s="15">
        <f>VLOOKUP($A$100,'集計'!$A$4:$EP$61,5,FALSE)</f>
        <v>38</v>
      </c>
      <c r="C103" s="16">
        <f>VLOOKUP($A$100,'集計'!$A$4:$EP$61,9,FALSE)</f>
        <v>8.89</v>
      </c>
      <c r="D103" s="15">
        <f>VLOOKUP($A$100,'集計'!$A$4:$EP$61,13,FALSE)</f>
        <v>10</v>
      </c>
      <c r="E103" s="16">
        <f>VLOOKUP($A$100,'集計'!$A$4:$EP$61,17,FALSE)</f>
        <v>23.5</v>
      </c>
      <c r="F103" s="15">
        <f>VLOOKUP($A$100,'集計'!$A$4:$EP$61,21,FALSE)</f>
        <v>11</v>
      </c>
      <c r="G103" s="16">
        <f>VLOOKUP($A$100,'集計'!$A$4:$EP$61,25,FALSE)</f>
        <v>67.9</v>
      </c>
      <c r="H103" s="15">
        <f>VLOOKUP($A$100,'集計'!$A$4:$EP$61,29,FALSE)</f>
        <v>22</v>
      </c>
      <c r="I103" s="16">
        <f>VLOOKUP($A$100,'集計'!$A$4:$EP$61,33,FALSE)</f>
        <v>543.1</v>
      </c>
      <c r="J103" s="15">
        <f>VLOOKUP($A$100,'集計'!$A$4:$EP$61,37,FALSE)</f>
        <v>6</v>
      </c>
      <c r="K103" s="16">
        <f>VLOOKUP($A$100,'集計'!$A$4:$EP$61,41,FALSE)</f>
        <v>91.9</v>
      </c>
      <c r="L103" s="15">
        <f>VLOOKUP($A$100,'集計'!$A$4:$EP$61,45,FALSE)</f>
        <v>5</v>
      </c>
      <c r="M103" s="16">
        <f>VLOOKUP($A$100,'集計'!$A$4:$EP$61,49,FALSE)</f>
        <v>17.8</v>
      </c>
      <c r="N103" s="15">
        <f>VLOOKUP($A$100,'集計'!$A$4:$EP$61,53,FALSE)</f>
        <v>2</v>
      </c>
      <c r="O103" s="16">
        <f>VLOOKUP($A$100,'集計'!$A$4:$EP$61,57,FALSE)</f>
        <v>21.3</v>
      </c>
      <c r="P103" s="15">
        <f>VLOOKUP($A$100,'集計'!$A$4:$EP$61,61,FALSE)</f>
        <v>3</v>
      </c>
      <c r="Q103" s="16">
        <f>VLOOKUP($A$100,'集計'!$A$4:$EP$61,65,FALSE)</f>
        <v>326.6</v>
      </c>
      <c r="R103" s="15">
        <f>VLOOKUP($A$100,'集計'!$A$4:$EP$61,69,FALSE)</f>
        <v>97</v>
      </c>
      <c r="S103" s="16">
        <f>VLOOKUP($A$100,'集計'!$A$4:$EP$61,73,FALSE)</f>
        <v>1100.99</v>
      </c>
      <c r="T103" s="32" t="s">
        <v>24</v>
      </c>
      <c r="U103" s="15">
        <f>VLOOKUP($A$100,'集計'!$A$4:$EP$61,77,FALSE)</f>
        <v>35</v>
      </c>
      <c r="V103" s="16">
        <f>VLOOKUP($A$100,'集計'!$A$4:$EP$61,81,FALSE)</f>
        <v>7.72</v>
      </c>
      <c r="W103" s="15">
        <f>VLOOKUP($A$100,'集計'!$A$4:$EP$61,85,FALSE)</f>
        <v>8</v>
      </c>
      <c r="X103" s="16">
        <f>VLOOKUP($A$100,'集計'!$A$4:$EP$61,89,FALSE)</f>
        <v>15.5</v>
      </c>
      <c r="Y103" s="15">
        <f>VLOOKUP($A$100,'集計'!$A$4:$EP$61,93,FALSE)</f>
        <v>11</v>
      </c>
      <c r="Z103" s="16">
        <f>VLOOKUP($A$100,'集計'!$A$4:$EP$61,97,FALSE)</f>
        <v>61.2</v>
      </c>
      <c r="AA103" s="15">
        <f>VLOOKUP($A$100,'集計'!$A$4:$EP$61,101,FALSE)</f>
        <v>21</v>
      </c>
      <c r="AB103" s="16">
        <f>VLOOKUP($A$100,'集計'!$A$4:$EP$61,105,FALSE)</f>
        <v>424.8</v>
      </c>
      <c r="AC103" s="15">
        <f>VLOOKUP($A$100,'集計'!$A$4:$EP$61,109,FALSE)</f>
        <v>6</v>
      </c>
      <c r="AD103" s="16">
        <f>VLOOKUP($A$100,'集計'!$A$4:$EP$61,113,FALSE)</f>
        <v>88.8</v>
      </c>
      <c r="AE103" s="15">
        <f>VLOOKUP($A$100,'集計'!$A$4:$EP$61,117,FALSE)</f>
        <v>4</v>
      </c>
      <c r="AF103" s="16">
        <f>VLOOKUP($A$100,'集計'!$A$4:$EP$61,121,FALSE)</f>
        <v>10.4</v>
      </c>
      <c r="AG103" s="15">
        <f>VLOOKUP($A$100,'集計'!$A$4:$EP$61,125,FALSE)</f>
        <v>2</v>
      </c>
      <c r="AH103" s="16">
        <f>VLOOKUP($A$100,'集計'!$A$4:$EP$61,129,FALSE)</f>
        <v>8.6</v>
      </c>
      <c r="AI103" s="15">
        <f>VLOOKUP($A$100,'集計'!$A$4:$EP$61,133,FALSE)</f>
        <v>3</v>
      </c>
      <c r="AJ103" s="16">
        <f>VLOOKUP($A$100,'集計'!$A$4:$EP$61,137,FALSE)</f>
        <v>145.8</v>
      </c>
      <c r="AK103" s="15">
        <f>VLOOKUP($A$100,'集計'!$A$4:$EP$61,141,FALSE)</f>
        <v>90</v>
      </c>
      <c r="AL103" s="16">
        <f>VLOOKUP($A$100,'集計'!$A$4:$EP$61,145,FALSE)</f>
        <v>762.82</v>
      </c>
    </row>
    <row r="104" spans="1:38" ht="13.5">
      <c r="A104" s="32" t="s">
        <v>37</v>
      </c>
      <c r="B104" s="15">
        <f>VLOOKUP($A$104,'集計'!$A$4:$EP$61,6,FALSE)</f>
        <v>1757</v>
      </c>
      <c r="C104" s="16">
        <f>VLOOKUP($A$104,'集計'!$A$4:$EP$61,10,FALSE)</f>
        <v>456.51</v>
      </c>
      <c r="D104" s="15">
        <f>VLOOKUP($A$104,'集計'!$A$4:$EP$61,14,FALSE)</f>
        <v>277</v>
      </c>
      <c r="E104" s="16">
        <f>VLOOKUP($A$104,'集計'!$A$4:$EP$61,18,FALSE)</f>
        <v>602.2</v>
      </c>
      <c r="F104" s="15">
        <f>VLOOKUP($A$104,'集計'!$A$4:$EP$61,22,FALSE)</f>
        <v>34</v>
      </c>
      <c r="G104" s="16">
        <f>VLOOKUP($A$104,'集計'!$A$4:$EP$61,26,FALSE)</f>
        <v>200.9</v>
      </c>
      <c r="H104" s="15">
        <f>VLOOKUP($A$104,'集計'!$A$4:$EP$61,30,FALSE)</f>
        <v>77</v>
      </c>
      <c r="I104" s="16">
        <f>VLOOKUP($A$104,'集計'!$A$4:$EP$61,34,FALSE)</f>
        <v>1604</v>
      </c>
      <c r="J104" s="15">
        <f>VLOOKUP($A$104,'集計'!$A$4:$EP$61,38,FALSE)</f>
        <v>35</v>
      </c>
      <c r="K104" s="16">
        <f>VLOOKUP($A$104,'集計'!$A$4:$EP$61,42,FALSE)</f>
        <v>426.7</v>
      </c>
      <c r="L104" s="15">
        <f>VLOOKUP($A$104,'集計'!$A$4:$EP$61,46,FALSE)</f>
        <v>25</v>
      </c>
      <c r="M104" s="16">
        <f>VLOOKUP($A$104,'集計'!$A$4:$EP$61,50,FALSE)</f>
        <v>418</v>
      </c>
      <c r="N104" s="15">
        <f>VLOOKUP($A$104,'集計'!$A$4:$EP$61,54,FALSE)</f>
        <v>37</v>
      </c>
      <c r="O104" s="16">
        <f>VLOOKUP($A$104,'集計'!$A$4:$EP$61,58,FALSE)</f>
        <v>502</v>
      </c>
      <c r="P104" s="15">
        <f>VLOOKUP($A$104,'集計'!$A$4:$EP$61,62,FALSE)</f>
        <v>12</v>
      </c>
      <c r="Q104" s="16">
        <f>VLOOKUP($A$104,'集計'!$A$4:$EP$61,66,FALSE)</f>
        <v>1349.4</v>
      </c>
      <c r="R104" s="15">
        <f>VLOOKUP($A$104,'集計'!$A$4:$EP$61,70,FALSE)</f>
        <v>2254</v>
      </c>
      <c r="S104" s="16">
        <f>VLOOKUP($A$104,'集計'!$A$4:$EP$61,74,FALSE)</f>
        <v>5559.71</v>
      </c>
      <c r="T104" s="32" t="s">
        <v>37</v>
      </c>
      <c r="U104" s="15">
        <f>VLOOKUP($A$104,'集計'!$A$4:$EP$61,78,FALSE)</f>
        <v>1623</v>
      </c>
      <c r="V104" s="16">
        <f>VLOOKUP($A$104,'集計'!$A$4:$EP$61,82,FALSE)</f>
        <v>396.4</v>
      </c>
      <c r="W104" s="15">
        <f>VLOOKUP($A$104,'集計'!$A$4:$EP$61,86,FALSE)</f>
        <v>244</v>
      </c>
      <c r="X104" s="16">
        <f>VLOOKUP($A$104,'集計'!$A$4:$EP$61,90,FALSE)</f>
        <v>455.65</v>
      </c>
      <c r="Y104" s="15">
        <f>VLOOKUP($A$104,'集計'!$A$4:$EP$61,94,FALSE)</f>
        <v>33</v>
      </c>
      <c r="Z104" s="16">
        <f>VLOOKUP($A$104,'集計'!$A$4:$EP$61,98,FALSE)</f>
        <v>180.7</v>
      </c>
      <c r="AA104" s="15">
        <f>VLOOKUP($A$104,'集計'!$A$4:$EP$61,102,FALSE)</f>
        <v>75</v>
      </c>
      <c r="AB104" s="16">
        <f>VLOOKUP($A$104,'集計'!$A$4:$EP$61,106,FALSE)</f>
        <v>1191.28</v>
      </c>
      <c r="AC104" s="15">
        <f>VLOOKUP($A$104,'集計'!$A$4:$EP$61,110,FALSE)</f>
        <v>32</v>
      </c>
      <c r="AD104" s="16">
        <f>VLOOKUP($A$104,'集計'!$A$4:$EP$61,114,FALSE)</f>
        <v>273.8</v>
      </c>
      <c r="AE104" s="15">
        <f>VLOOKUP($A$104,'集計'!$A$4:$EP$61,118,FALSE)</f>
        <v>22</v>
      </c>
      <c r="AF104" s="16">
        <f>VLOOKUP($A$104,'集計'!$A$4:$EP$61,122,FALSE)</f>
        <v>213.81</v>
      </c>
      <c r="AG104" s="15">
        <f>VLOOKUP($A$104,'集計'!$A$4:$EP$61,126,FALSE)</f>
        <v>34</v>
      </c>
      <c r="AH104" s="16">
        <f>VLOOKUP($A$104,'集計'!$A$4:$EP$61,130,FALSE)</f>
        <v>400</v>
      </c>
      <c r="AI104" s="15">
        <f>VLOOKUP($A$104,'集計'!$A$4:$EP$61,134,FALSE)</f>
        <v>11</v>
      </c>
      <c r="AJ104" s="16">
        <f>VLOOKUP($A$104,'集計'!$A$4:$EP$61,138,FALSE)</f>
        <v>955.8</v>
      </c>
      <c r="AK104" s="15">
        <f>VLOOKUP($A$104,'集計'!$A$4:$EP$61,142,FALSE)</f>
        <v>2074</v>
      </c>
      <c r="AL104" s="16">
        <f>VLOOKUP($A$104,'集計'!$A$4:$EP$61,146,FALSE)</f>
        <v>4067.44</v>
      </c>
    </row>
    <row r="105" spans="1:38" ht="13.5">
      <c r="A105" s="32" t="s">
        <v>22</v>
      </c>
      <c r="B105" s="15">
        <f>VLOOKUP($A$104,'集計'!$A$4:$EP$61,3,FALSE)</f>
        <v>1699</v>
      </c>
      <c r="C105" s="16">
        <f>VLOOKUP($A$104,'集計'!$A$4:$EP$61,7,FALSE)</f>
        <v>439.81</v>
      </c>
      <c r="D105" s="15">
        <f>VLOOKUP($A$104,'集計'!$A$4:$EP$61,11,FALSE)</f>
        <v>248</v>
      </c>
      <c r="E105" s="16">
        <f>VLOOKUP($A$104,'集計'!$A$4:$EP$61,15,FALSE)</f>
        <v>524.5</v>
      </c>
      <c r="F105" s="15">
        <f>VLOOKUP($A$104,'集計'!$A$4:$EP$61,19,FALSE)</f>
        <v>26</v>
      </c>
      <c r="G105" s="16">
        <f>VLOOKUP($A$104,'集計'!$A$4:$EP$61,23,FALSE)</f>
        <v>152.2</v>
      </c>
      <c r="H105" s="15">
        <f>VLOOKUP($A$104,'集計'!$A$4:$EP$61,27,FALSE)</f>
        <v>64</v>
      </c>
      <c r="I105" s="16">
        <f>VLOOKUP($A$104,'集計'!$A$4:$EP$61,31,FALSE)</f>
        <v>1329.9</v>
      </c>
      <c r="J105" s="15">
        <f>VLOOKUP($A$104,'集計'!$A$4:$EP$61,35,FALSE)</f>
        <v>33</v>
      </c>
      <c r="K105" s="16">
        <f>VLOOKUP($A$104,'集計'!$A$4:$EP$61,39,FALSE)</f>
        <v>358.6</v>
      </c>
      <c r="L105" s="15">
        <f>VLOOKUP($A$104,'集計'!$A$4:$EP$61,43,FALSE)</f>
        <v>20</v>
      </c>
      <c r="M105" s="16">
        <f>VLOOKUP($A$104,'集計'!$A$4:$EP$61,47,FALSE)</f>
        <v>348.6</v>
      </c>
      <c r="N105" s="15">
        <f>VLOOKUP($A$104,'集計'!$A$4:$EP$61,51,FALSE)</f>
        <v>34</v>
      </c>
      <c r="O105" s="16">
        <f>VLOOKUP($A$104,'集計'!$A$4:$EP$61,55,FALSE)</f>
        <v>433.3</v>
      </c>
      <c r="P105" s="15">
        <f>VLOOKUP($A$104,'集計'!$A$4:$EP$61,59,FALSE)</f>
        <v>7</v>
      </c>
      <c r="Q105" s="16">
        <f>VLOOKUP($A$104,'集計'!$A$4:$EP$61,63,FALSE)</f>
        <v>627.7</v>
      </c>
      <c r="R105" s="15">
        <f>VLOOKUP($A$104,'集計'!$A$4:$EP$61,67,FALSE)</f>
        <v>2131</v>
      </c>
      <c r="S105" s="16">
        <f>VLOOKUP($A$104,'集計'!$A$4:$EP$61,71,FALSE)</f>
        <v>4214.61</v>
      </c>
      <c r="T105" s="32" t="s">
        <v>22</v>
      </c>
      <c r="U105" s="15">
        <f>VLOOKUP($A$104,'集計'!$A$4:$EP$61,75,FALSE)</f>
        <v>1574</v>
      </c>
      <c r="V105" s="16">
        <f>VLOOKUP($A$104,'集計'!$A$4:$EP$61,79,FALSE)</f>
        <v>385.13</v>
      </c>
      <c r="W105" s="15">
        <f>VLOOKUP($A$104,'集計'!$A$4:$EP$61,83,FALSE)</f>
        <v>220</v>
      </c>
      <c r="X105" s="16">
        <f>VLOOKUP($A$104,'集計'!$A$4:$EP$61,87,FALSE)</f>
        <v>399.65</v>
      </c>
      <c r="Y105" s="15">
        <f>VLOOKUP($A$104,'集計'!$A$4:$EP$61,91,FALSE)</f>
        <v>26</v>
      </c>
      <c r="Z105" s="16">
        <f>VLOOKUP($A$104,'集計'!$A$4:$EP$61,95,FALSE)</f>
        <v>140.1</v>
      </c>
      <c r="AA105" s="15">
        <f>VLOOKUP($A$104,'集計'!$A$4:$EP$61,99,FALSE)</f>
        <v>62</v>
      </c>
      <c r="AB105" s="16">
        <f>VLOOKUP($A$104,'集計'!$A$4:$EP$61,103,FALSE)</f>
        <v>955.88</v>
      </c>
      <c r="AC105" s="15">
        <f>VLOOKUP($A$104,'集計'!$A$4:$EP$61,107,FALSE)</f>
        <v>30</v>
      </c>
      <c r="AD105" s="16">
        <f>VLOOKUP($A$104,'集計'!$A$4:$EP$61,111,FALSE)</f>
        <v>224.2</v>
      </c>
      <c r="AE105" s="15">
        <f>VLOOKUP($A$104,'集計'!$A$4:$EP$61,115,FALSE)</f>
        <v>19</v>
      </c>
      <c r="AF105" s="16">
        <f>VLOOKUP($A$104,'集計'!$A$4:$EP$61,119,FALSE)</f>
        <v>179.61</v>
      </c>
      <c r="AG105" s="15">
        <f>VLOOKUP($A$104,'集計'!$A$4:$EP$61,123,FALSE)</f>
        <v>31</v>
      </c>
      <c r="AH105" s="16">
        <f>VLOOKUP($A$104,'集計'!$A$4:$EP$61,127,FALSE)</f>
        <v>341.1</v>
      </c>
      <c r="AI105" s="15">
        <f>VLOOKUP($A$104,'集計'!$A$4:$EP$61,131,FALSE)</f>
        <v>7</v>
      </c>
      <c r="AJ105" s="16">
        <f>VLOOKUP($A$104,'集計'!$A$4:$EP$61,135,FALSE)</f>
        <v>438</v>
      </c>
      <c r="AK105" s="15">
        <f>VLOOKUP($A$104,'集計'!$A$4:$EP$61,139,FALSE)</f>
        <v>1969</v>
      </c>
      <c r="AL105" s="16">
        <f>VLOOKUP($A$104,'集計'!$A$4:$EP$61,143,FALSE)</f>
        <v>3063.67</v>
      </c>
    </row>
    <row r="106" spans="1:38" ht="13.5">
      <c r="A106" s="32" t="s">
        <v>23</v>
      </c>
      <c r="B106" s="15">
        <f>VLOOKUP($A$104,'集計'!$A$4:$EP$61,4,FALSE)</f>
        <v>48</v>
      </c>
      <c r="C106" s="16">
        <f>VLOOKUP($A$104,'集計'!$A$4:$EP$61,8,FALSE)</f>
        <v>13.19</v>
      </c>
      <c r="D106" s="15">
        <f>VLOOKUP($A$104,'集計'!$A$4:$EP$61,(12),FALSE)</f>
        <v>23</v>
      </c>
      <c r="E106" s="16">
        <f>VLOOKUP($A$104,'集計'!$A$4:$EP$61,16,FALSE)</f>
        <v>63.7</v>
      </c>
      <c r="F106" s="15">
        <f>VLOOKUP($A$104,'集計'!$A$4:$EP$61,20,FALSE)</f>
        <v>6</v>
      </c>
      <c r="G106" s="16">
        <f>VLOOKUP($A$104,'集計'!$A$4:$EP$61,24,FALSE)</f>
        <v>36.4</v>
      </c>
      <c r="H106" s="15">
        <f>VLOOKUP($A$104,'集計'!$A$4:$EP$61,28,FALSE)</f>
        <v>9</v>
      </c>
      <c r="I106" s="16">
        <f>VLOOKUP($A$104,'集計'!$A$4:$EP$61,32,FALSE)</f>
        <v>192.9</v>
      </c>
      <c r="J106" s="15">
        <f>VLOOKUP($A$104,'集計'!$A$4:$EP$61,36,FALSE)</f>
        <v>1</v>
      </c>
      <c r="K106" s="16">
        <f>VLOOKUP($A$104,'集計'!$A$4:$EP$61,40,FALSE)</f>
        <v>18.6</v>
      </c>
      <c r="L106" s="15">
        <f>VLOOKUP($A$104,'集計'!$A$4:$EP$61,44,FALSE)</f>
        <v>2</v>
      </c>
      <c r="M106" s="16">
        <f>VLOOKUP($A$104,'集計'!$A$4:$EP$61,48,FALSE)</f>
        <v>21</v>
      </c>
      <c r="N106" s="15">
        <f>VLOOKUP($A$104,'集計'!$A$4:$EP$61,52,FALSE)</f>
        <v>2</v>
      </c>
      <c r="O106" s="16">
        <f>VLOOKUP($A$104,'集計'!$A$4:$EP$61,56,FALSE)</f>
        <v>8.5</v>
      </c>
      <c r="P106" s="15">
        <f>VLOOKUP($A$104,'集計'!$A$4:$EP$61,60,FALSE)</f>
        <v>1</v>
      </c>
      <c r="Q106" s="16">
        <f>VLOOKUP($A$104,'集計'!$A$4:$EP$61,64,FALSE)</f>
        <v>311.4</v>
      </c>
      <c r="R106" s="15">
        <f>VLOOKUP($A$104,'集計'!$A$4:$EP$61,68,FALSE)</f>
        <v>92</v>
      </c>
      <c r="S106" s="16">
        <f>VLOOKUP($A$104,'集計'!$A$4:$EP$61,72,FALSE)</f>
        <v>665.69</v>
      </c>
      <c r="T106" s="32" t="s">
        <v>23</v>
      </c>
      <c r="U106" s="15">
        <f>VLOOKUP($A$104,'集計'!$A$4:$EP$61,76,FALSE)</f>
        <v>44</v>
      </c>
      <c r="V106" s="16">
        <f>VLOOKUP($A$104,'集計'!$A$4:$EP$61,80,FALSE)</f>
        <v>9.81</v>
      </c>
      <c r="W106" s="15">
        <f>VLOOKUP($A$104,'集計'!$A$4:$EP$61,84,FALSE)</f>
        <v>20</v>
      </c>
      <c r="X106" s="16">
        <f>VLOOKUP($A$104,'集計'!$A$4:$EP$61,88,FALSE)</f>
        <v>46.8</v>
      </c>
      <c r="Y106" s="15">
        <f>VLOOKUP($A$104,'集計'!$A$4:$EP$61,92,FALSE)</f>
        <v>5</v>
      </c>
      <c r="Z106" s="16">
        <f>VLOOKUP($A$104,'集計'!$A$4:$EP$61,96,FALSE)</f>
        <v>28.3</v>
      </c>
      <c r="AA106" s="15">
        <f>VLOOKUP($A$104,'集計'!$A$4:$EP$61,100,FALSE)</f>
        <v>9</v>
      </c>
      <c r="AB106" s="16">
        <f>VLOOKUP($A$104,'集計'!$A$4:$EP$61,104,FALSE)</f>
        <v>162.1</v>
      </c>
      <c r="AC106" s="15">
        <f>VLOOKUP($A$104,'集計'!$A$4:$EP$61,108,FALSE)</f>
        <v>0</v>
      </c>
      <c r="AD106" s="16">
        <f>VLOOKUP($A$104,'集計'!$A$4:$EP$61,112,FALSE)</f>
        <v>5</v>
      </c>
      <c r="AE106" s="15">
        <f>VLOOKUP($A$104,'集計'!$A$4:$EP$61,116,FALSE)</f>
        <v>1</v>
      </c>
      <c r="AF106" s="16">
        <f>VLOOKUP($A$104,'集計'!$A$4:$EP$61,120,FALSE)</f>
        <v>12.4</v>
      </c>
      <c r="AG106" s="15">
        <f>VLOOKUP($A$104,'集計'!$A$4:$EP$61,124,FALSE)</f>
        <v>2</v>
      </c>
      <c r="AH106" s="16">
        <f>VLOOKUP($A$104,'集計'!$A$4:$EP$61,128,FALSE)</f>
        <v>2.3</v>
      </c>
      <c r="AI106" s="15">
        <f>VLOOKUP($A$104,'集計'!$A$4:$EP$61,132,FALSE)</f>
        <v>1</v>
      </c>
      <c r="AJ106" s="16">
        <f>VLOOKUP($A$104,'集計'!$A$4:$EP$61,136,FALSE)</f>
        <v>142.1</v>
      </c>
      <c r="AK106" s="15">
        <f>VLOOKUP($A$104,'集計'!$A$4:$EP$61,140,FALSE)</f>
        <v>82</v>
      </c>
      <c r="AL106" s="16">
        <f>VLOOKUP($A$104,'集計'!$A$4:$EP$61,144,FALSE)</f>
        <v>408.81</v>
      </c>
    </row>
    <row r="107" spans="1:38" ht="13.5">
      <c r="A107" s="32" t="s">
        <v>24</v>
      </c>
      <c r="B107" s="15">
        <f>VLOOKUP($A$104,'集計'!$A$4:$EP$61,5,FALSE)</f>
        <v>10</v>
      </c>
      <c r="C107" s="16">
        <f>VLOOKUP($A$104,'集計'!$A$4:$EP$61,9,FALSE)</f>
        <v>3.51</v>
      </c>
      <c r="D107" s="15">
        <f>VLOOKUP($A$104,'集計'!$A$4:$EP$61,13,FALSE)</f>
        <v>6</v>
      </c>
      <c r="E107" s="16">
        <f>VLOOKUP($A$104,'集計'!$A$4:$EP$61,17,FALSE)</f>
        <v>14</v>
      </c>
      <c r="F107" s="15">
        <f>VLOOKUP($A$104,'集計'!$A$4:$EP$61,21,FALSE)</f>
        <v>2</v>
      </c>
      <c r="G107" s="16">
        <f>VLOOKUP($A$104,'集計'!$A$4:$EP$61,25,FALSE)</f>
        <v>12.3</v>
      </c>
      <c r="H107" s="15">
        <f>VLOOKUP($A$104,'集計'!$A$4:$EP$61,29,FALSE)</f>
        <v>4</v>
      </c>
      <c r="I107" s="16">
        <f>VLOOKUP($A$104,'集計'!$A$4:$EP$61,33,FALSE)</f>
        <v>81.2</v>
      </c>
      <c r="J107" s="15">
        <f>VLOOKUP($A$104,'集計'!$A$4:$EP$61,37,FALSE)</f>
        <v>1</v>
      </c>
      <c r="K107" s="16">
        <f>VLOOKUP($A$104,'集計'!$A$4:$EP$61,41,FALSE)</f>
        <v>49.5</v>
      </c>
      <c r="L107" s="15">
        <f>VLOOKUP($A$104,'集計'!$A$4:$EP$61,45,FALSE)</f>
        <v>3</v>
      </c>
      <c r="M107" s="16">
        <f>VLOOKUP($A$104,'集計'!$A$4:$EP$61,49,FALSE)</f>
        <v>48.4</v>
      </c>
      <c r="N107" s="15">
        <f>VLOOKUP($A$104,'集計'!$A$4:$EP$61,53,FALSE)</f>
        <v>1</v>
      </c>
      <c r="O107" s="16">
        <f>VLOOKUP($A$104,'集計'!$A$4:$EP$61,57,FALSE)</f>
        <v>60.2</v>
      </c>
      <c r="P107" s="15">
        <f>VLOOKUP($A$104,'集計'!$A$4:$EP$61,61,FALSE)</f>
        <v>4</v>
      </c>
      <c r="Q107" s="16">
        <f>VLOOKUP($A$104,'集計'!$A$4:$EP$61,65,FALSE)</f>
        <v>410.3</v>
      </c>
      <c r="R107" s="15">
        <f>VLOOKUP($A$104,'集計'!$A$4:$EP$61,69,FALSE)</f>
        <v>31</v>
      </c>
      <c r="S107" s="16">
        <f>VLOOKUP($A$104,'集計'!$A$4:$EP$61,73,FALSE)</f>
        <v>679.41</v>
      </c>
      <c r="T107" s="32" t="s">
        <v>24</v>
      </c>
      <c r="U107" s="15">
        <f>VLOOKUP($A$104,'集計'!$A$4:$EP$61,77,FALSE)</f>
        <v>5</v>
      </c>
      <c r="V107" s="16">
        <f>VLOOKUP($A$104,'集計'!$A$4:$EP$61,81,FALSE)</f>
        <v>1.46</v>
      </c>
      <c r="W107" s="15">
        <f>VLOOKUP($A$104,'集計'!$A$4:$EP$61,85,FALSE)</f>
        <v>4</v>
      </c>
      <c r="X107" s="16">
        <f>VLOOKUP($A$104,'集計'!$A$4:$EP$61,89,FALSE)</f>
        <v>9.2</v>
      </c>
      <c r="Y107" s="15">
        <f>VLOOKUP($A$104,'集計'!$A$4:$EP$61,93,FALSE)</f>
        <v>2</v>
      </c>
      <c r="Z107" s="16">
        <f>VLOOKUP($A$104,'集計'!$A$4:$EP$61,97,FALSE)</f>
        <v>12.3</v>
      </c>
      <c r="AA107" s="15">
        <f>VLOOKUP($A$104,'集計'!$A$4:$EP$61,101,FALSE)</f>
        <v>4</v>
      </c>
      <c r="AB107" s="16">
        <f>VLOOKUP($A$104,'集計'!$A$4:$EP$61,105,FALSE)</f>
        <v>73.3</v>
      </c>
      <c r="AC107" s="15">
        <f>VLOOKUP($A$104,'集計'!$A$4:$EP$61,109,FALSE)</f>
        <v>2</v>
      </c>
      <c r="AD107" s="16">
        <f>VLOOKUP($A$104,'集計'!$A$4:$EP$61,113,FALSE)</f>
        <v>44.6</v>
      </c>
      <c r="AE107" s="15">
        <f>VLOOKUP($A$104,'集計'!$A$4:$EP$61,117,FALSE)</f>
        <v>2</v>
      </c>
      <c r="AF107" s="16">
        <f>VLOOKUP($A$104,'集計'!$A$4:$EP$61,121,FALSE)</f>
        <v>21.8</v>
      </c>
      <c r="AG107" s="15">
        <f>VLOOKUP($A$104,'集計'!$A$4:$EP$61,125,FALSE)</f>
        <v>1</v>
      </c>
      <c r="AH107" s="16">
        <f>VLOOKUP($A$104,'集計'!$A$4:$EP$61,129,FALSE)</f>
        <v>56.6</v>
      </c>
      <c r="AI107" s="15">
        <f>VLOOKUP($A$104,'集計'!$A$4:$EP$61,133,FALSE)</f>
        <v>3</v>
      </c>
      <c r="AJ107" s="16">
        <f>VLOOKUP($A$104,'集計'!$A$4:$EP$61,137,FALSE)</f>
        <v>375.7</v>
      </c>
      <c r="AK107" s="15">
        <f>VLOOKUP($A$104,'集計'!$A$4:$EP$61,141,FALSE)</f>
        <v>23</v>
      </c>
      <c r="AL107" s="16">
        <f>VLOOKUP($A$104,'集計'!$A$4:$EP$61,145,FALSE)</f>
        <v>594.96</v>
      </c>
    </row>
    <row r="108" spans="1:38" ht="13.5">
      <c r="A108" s="32" t="s">
        <v>38</v>
      </c>
      <c r="B108" s="15">
        <f>VLOOKUP($A$108,'集計'!$A$4:$EP$61,6,FALSE)</f>
        <v>1941</v>
      </c>
      <c r="C108" s="16">
        <f>VLOOKUP($A$108,'集計'!$A$4:$EP$61,10,FALSE)</f>
        <v>436.05</v>
      </c>
      <c r="D108" s="15">
        <f>VLOOKUP($A$108,'集計'!$A$4:$EP$61,14,FALSE)</f>
        <v>231</v>
      </c>
      <c r="E108" s="16">
        <f>VLOOKUP($A$108,'集計'!$A$4:$EP$61,18,FALSE)</f>
        <v>394.8</v>
      </c>
      <c r="F108" s="15">
        <f>VLOOKUP($A$108,'集計'!$A$4:$EP$61,22,FALSE)</f>
        <v>55</v>
      </c>
      <c r="G108" s="16">
        <f>VLOOKUP($A$108,'集計'!$A$4:$EP$61,26,FALSE)</f>
        <v>278.1</v>
      </c>
      <c r="H108" s="15">
        <f>VLOOKUP($A$108,'集計'!$A$4:$EP$61,30,FALSE)</f>
        <v>37</v>
      </c>
      <c r="I108" s="16">
        <f>VLOOKUP($A$108,'集計'!$A$4:$EP$61,34,FALSE)</f>
        <v>716</v>
      </c>
      <c r="J108" s="15">
        <f>VLOOKUP($A$108,'集計'!$A$4:$EP$61,38,FALSE)</f>
        <v>27</v>
      </c>
      <c r="K108" s="16">
        <f>VLOOKUP($A$108,'集計'!$A$4:$EP$61,42,FALSE)</f>
        <v>439.3</v>
      </c>
      <c r="L108" s="15">
        <f>VLOOKUP($A$108,'集計'!$A$4:$EP$61,46,FALSE)</f>
        <v>38</v>
      </c>
      <c r="M108" s="16">
        <f>VLOOKUP($A$108,'集計'!$A$4:$EP$61,50,FALSE)</f>
        <v>739.7</v>
      </c>
      <c r="N108" s="15">
        <f>VLOOKUP($A$108,'集計'!$A$4:$EP$61,54,FALSE)</f>
        <v>16</v>
      </c>
      <c r="O108" s="16">
        <f>VLOOKUP($A$108,'集計'!$A$4:$EP$61,58,FALSE)</f>
        <v>67.2</v>
      </c>
      <c r="P108" s="15">
        <f>VLOOKUP($A$108,'集計'!$A$4:$EP$61,62,FALSE)</f>
        <v>11</v>
      </c>
      <c r="Q108" s="16">
        <f>VLOOKUP($A$108,'集計'!$A$4:$EP$61,66,FALSE)</f>
        <v>799.1</v>
      </c>
      <c r="R108" s="15">
        <f>VLOOKUP($A$108,'集計'!$A$4:$EP$61,70,FALSE)</f>
        <v>2356</v>
      </c>
      <c r="S108" s="16">
        <f>VLOOKUP($A$108,'集計'!$A$4:$EP$61,74,FALSE)</f>
        <v>3870.25</v>
      </c>
      <c r="T108" s="32" t="s">
        <v>38</v>
      </c>
      <c r="U108" s="15">
        <f>VLOOKUP($A$108,'集計'!$A$4:$EP$61,78,FALSE)</f>
        <v>1896</v>
      </c>
      <c r="V108" s="16">
        <f>VLOOKUP($A$108,'集計'!$A$4:$EP$61,82,FALSE)</f>
        <v>422.36</v>
      </c>
      <c r="W108" s="15">
        <f>VLOOKUP($A$108,'集計'!$A$4:$EP$61,86,FALSE)</f>
        <v>222</v>
      </c>
      <c r="X108" s="16">
        <f>VLOOKUP($A$108,'集計'!$A$4:$EP$61,90,FALSE)</f>
        <v>371.7</v>
      </c>
      <c r="Y108" s="15">
        <f>VLOOKUP($A$108,'集計'!$A$4:$EP$61,94,FALSE)</f>
        <v>55</v>
      </c>
      <c r="Z108" s="16">
        <f>VLOOKUP($A$108,'集計'!$A$4:$EP$61,98,FALSE)</f>
        <v>261.4</v>
      </c>
      <c r="AA108" s="15">
        <f>VLOOKUP($A$108,'集計'!$A$4:$EP$61,102,FALSE)</f>
        <v>35</v>
      </c>
      <c r="AB108" s="16">
        <f>VLOOKUP($A$108,'集計'!$A$4:$EP$61,106,FALSE)</f>
        <v>546.8</v>
      </c>
      <c r="AC108" s="15">
        <f>VLOOKUP($A$108,'集計'!$A$4:$EP$61,110,FALSE)</f>
        <v>26</v>
      </c>
      <c r="AD108" s="16">
        <f>VLOOKUP($A$108,'集計'!$A$4:$EP$61,114,FALSE)</f>
        <v>375.6</v>
      </c>
      <c r="AE108" s="15">
        <f>VLOOKUP($A$108,'集計'!$A$4:$EP$61,118,FALSE)</f>
        <v>30</v>
      </c>
      <c r="AF108" s="16">
        <f>VLOOKUP($A$108,'集計'!$A$4:$EP$61,122,FALSE)</f>
        <v>378.3</v>
      </c>
      <c r="AG108" s="15">
        <f>VLOOKUP($A$108,'集計'!$A$4:$EP$61,126,FALSE)</f>
        <v>16</v>
      </c>
      <c r="AH108" s="16">
        <f>VLOOKUP($A$108,'集計'!$A$4:$EP$61,130,FALSE)</f>
        <v>55.5</v>
      </c>
      <c r="AI108" s="15">
        <f>VLOOKUP($A$108,'集計'!$A$4:$EP$61,134,FALSE)</f>
        <v>10</v>
      </c>
      <c r="AJ108" s="16">
        <f>VLOOKUP($A$108,'集計'!$A$4:$EP$61,138,FALSE)</f>
        <v>448.9</v>
      </c>
      <c r="AK108" s="15">
        <f>VLOOKUP($A$108,'集計'!$A$4:$EP$61,142,FALSE)</f>
        <v>2290</v>
      </c>
      <c r="AL108" s="16">
        <f>VLOOKUP($A$108,'集計'!$A$4:$EP$61,146,FALSE)</f>
        <v>2860.56</v>
      </c>
    </row>
    <row r="109" spans="1:38" ht="13.5">
      <c r="A109" s="32" t="s">
        <v>22</v>
      </c>
      <c r="B109" s="15">
        <f>VLOOKUP($A$108,'集計'!$A$4:$EP$61,3,FALSE)</f>
        <v>1714</v>
      </c>
      <c r="C109" s="16">
        <f>VLOOKUP($A$108,'集計'!$A$4:$EP$61,7,FALSE)</f>
        <v>374.9</v>
      </c>
      <c r="D109" s="15">
        <f>VLOOKUP($A$108,'集計'!$A$4:$EP$61,11,FALSE)</f>
        <v>178</v>
      </c>
      <c r="E109" s="16">
        <f>VLOOKUP($A$108,'集計'!$A$4:$EP$61,15,FALSE)</f>
        <v>288.5</v>
      </c>
      <c r="F109" s="15">
        <f>VLOOKUP($A$108,'集計'!$A$4:$EP$61,19,FALSE)</f>
        <v>34</v>
      </c>
      <c r="G109" s="16">
        <f>VLOOKUP($A$108,'集計'!$A$4:$EP$61,23,FALSE)</f>
        <v>149.4</v>
      </c>
      <c r="H109" s="15">
        <f>VLOOKUP($A$108,'集計'!$A$4:$EP$61,27,FALSE)</f>
        <v>14</v>
      </c>
      <c r="I109" s="16">
        <f>VLOOKUP($A$108,'集計'!$A$4:$EP$61,31,FALSE)</f>
        <v>274.8</v>
      </c>
      <c r="J109" s="15">
        <f>VLOOKUP($A$108,'集計'!$A$4:$EP$61,35,FALSE)</f>
        <v>17</v>
      </c>
      <c r="K109" s="16">
        <f>VLOOKUP($A$108,'集計'!$A$4:$EP$61,39,FALSE)</f>
        <v>234.3</v>
      </c>
      <c r="L109" s="15">
        <f>VLOOKUP($A$108,'集計'!$A$4:$EP$61,43,FALSE)</f>
        <v>11</v>
      </c>
      <c r="M109" s="16">
        <f>VLOOKUP($A$108,'集計'!$A$4:$EP$61,47,FALSE)</f>
        <v>70</v>
      </c>
      <c r="N109" s="15">
        <f>VLOOKUP($A$108,'集計'!$A$4:$EP$61,51,FALSE)</f>
        <v>7</v>
      </c>
      <c r="O109" s="16">
        <f>VLOOKUP($A$108,'集計'!$A$4:$EP$61,55,FALSE)</f>
        <v>16.1</v>
      </c>
      <c r="P109" s="15">
        <f>VLOOKUP($A$108,'集計'!$A$4:$EP$61,59,FALSE)</f>
        <v>0</v>
      </c>
      <c r="Q109" s="16">
        <f>VLOOKUP($A$108,'集計'!$A$4:$EP$61,63,FALSE)</f>
        <v>0</v>
      </c>
      <c r="R109" s="15">
        <f>VLOOKUP($A$108,'集計'!$A$4:$EP$61,67,FALSE)</f>
        <v>1975</v>
      </c>
      <c r="S109" s="16">
        <f>VLOOKUP($A$108,'集計'!$A$4:$EP$61,71,FALSE)</f>
        <v>1408</v>
      </c>
      <c r="T109" s="32" t="s">
        <v>22</v>
      </c>
      <c r="U109" s="15">
        <f>VLOOKUP($A$108,'集計'!$A$4:$EP$61,75,FALSE)</f>
        <v>1673</v>
      </c>
      <c r="V109" s="16">
        <f>VLOOKUP($A$108,'集計'!$A$4:$EP$61,79,FALSE)</f>
        <v>363.16</v>
      </c>
      <c r="W109" s="15">
        <f>VLOOKUP($A$108,'集計'!$A$4:$EP$61,83,FALSE)</f>
        <v>169</v>
      </c>
      <c r="X109" s="16">
        <f>VLOOKUP($A$108,'集計'!$A$4:$EP$61,87,FALSE)</f>
        <v>265.8</v>
      </c>
      <c r="Y109" s="15">
        <f>VLOOKUP($A$108,'集計'!$A$4:$EP$61,91,FALSE)</f>
        <v>34</v>
      </c>
      <c r="Z109" s="16">
        <f>VLOOKUP($A$108,'集計'!$A$4:$EP$61,95,FALSE)</f>
        <v>140.4</v>
      </c>
      <c r="AA109" s="15">
        <f>VLOOKUP($A$108,'集計'!$A$4:$EP$61,99,FALSE)</f>
        <v>13</v>
      </c>
      <c r="AB109" s="16">
        <f>VLOOKUP($A$108,'集計'!$A$4:$EP$61,103,FALSE)</f>
        <v>243.5</v>
      </c>
      <c r="AC109" s="15">
        <f>VLOOKUP($A$108,'集計'!$A$4:$EP$61,107,FALSE)</f>
        <v>17</v>
      </c>
      <c r="AD109" s="16">
        <f>VLOOKUP($A$108,'集計'!$A$4:$EP$61,111,FALSE)</f>
        <v>220.4</v>
      </c>
      <c r="AE109" s="15">
        <f>VLOOKUP($A$108,'集計'!$A$4:$EP$61,115,FALSE)</f>
        <v>8</v>
      </c>
      <c r="AF109" s="16">
        <f>VLOOKUP($A$108,'集計'!$A$4:$EP$61,119,FALSE)</f>
        <v>36.3</v>
      </c>
      <c r="AG109" s="15">
        <f>VLOOKUP($A$108,'集計'!$A$4:$EP$61,123,FALSE)</f>
        <v>7</v>
      </c>
      <c r="AH109" s="16">
        <f>VLOOKUP($A$108,'集計'!$A$4:$EP$61,127,FALSE)</f>
        <v>12.4</v>
      </c>
      <c r="AI109" s="15">
        <f>VLOOKUP($A$108,'集計'!$A$4:$EP$61,131,FALSE)</f>
        <v>0</v>
      </c>
      <c r="AJ109" s="16">
        <f>VLOOKUP($A$108,'集計'!$A$4:$EP$61,135,FALSE)</f>
        <v>0</v>
      </c>
      <c r="AK109" s="15">
        <f>VLOOKUP($A$108,'集計'!$A$4:$EP$61,139,FALSE)</f>
        <v>1921</v>
      </c>
      <c r="AL109" s="16">
        <f>VLOOKUP($A$108,'集計'!$A$4:$EP$61,143,FALSE)</f>
        <v>1281.96</v>
      </c>
    </row>
    <row r="110" spans="1:38" ht="13.5">
      <c r="A110" s="32" t="s">
        <v>23</v>
      </c>
      <c r="B110" s="15">
        <f>VLOOKUP($A$108,'集計'!$A$4:$EP$61,4,FALSE)</f>
        <v>205</v>
      </c>
      <c r="C110" s="16">
        <f>VLOOKUP($A$108,'集計'!$A$4:$EP$61,8,FALSE)</f>
        <v>54.53</v>
      </c>
      <c r="D110" s="15">
        <f>VLOOKUP($A$108,'集計'!$A$4:$EP$61,(12),FALSE)</f>
        <v>40</v>
      </c>
      <c r="E110" s="16">
        <f>VLOOKUP($A$108,'集計'!$A$4:$EP$61,16,FALSE)</f>
        <v>82.3</v>
      </c>
      <c r="F110" s="15">
        <f>VLOOKUP($A$108,'集計'!$A$4:$EP$61,20,FALSE)</f>
        <v>7</v>
      </c>
      <c r="G110" s="16">
        <f>VLOOKUP($A$108,'集計'!$A$4:$EP$61,24,FALSE)</f>
        <v>47</v>
      </c>
      <c r="H110" s="15">
        <f>VLOOKUP($A$108,'集計'!$A$4:$EP$61,28,FALSE)</f>
        <v>5</v>
      </c>
      <c r="I110" s="16">
        <f>VLOOKUP($A$108,'集計'!$A$4:$EP$61,32,FALSE)</f>
        <v>74</v>
      </c>
      <c r="J110" s="15">
        <f>VLOOKUP($A$108,'集計'!$A$4:$EP$61,36,FALSE)</f>
        <v>2</v>
      </c>
      <c r="K110" s="16">
        <f>VLOOKUP($A$108,'集計'!$A$4:$EP$61,40,FALSE)</f>
        <v>22.5</v>
      </c>
      <c r="L110" s="15">
        <f>VLOOKUP($A$108,'集計'!$A$4:$EP$61,44,FALSE)</f>
        <v>6</v>
      </c>
      <c r="M110" s="16">
        <f>VLOOKUP($A$108,'集計'!$A$4:$EP$61,48,FALSE)</f>
        <v>91</v>
      </c>
      <c r="N110" s="15">
        <f>VLOOKUP($A$108,'集計'!$A$4:$EP$61,52,FALSE)</f>
        <v>3</v>
      </c>
      <c r="O110" s="16">
        <f>VLOOKUP($A$108,'集計'!$A$4:$EP$61,56,FALSE)</f>
        <v>11.3</v>
      </c>
      <c r="P110" s="15">
        <f>VLOOKUP($A$108,'集計'!$A$4:$EP$61,60,FALSE)</f>
        <v>1</v>
      </c>
      <c r="Q110" s="16">
        <f>VLOOKUP($A$108,'集計'!$A$4:$EP$61,64,FALSE)</f>
        <v>64.7</v>
      </c>
      <c r="R110" s="15">
        <f>VLOOKUP($A$108,'集計'!$A$4:$EP$61,68,FALSE)</f>
        <v>269</v>
      </c>
      <c r="S110" s="16">
        <f>VLOOKUP($A$108,'集計'!$A$4:$EP$61,72,FALSE)</f>
        <v>447.33</v>
      </c>
      <c r="T110" s="32" t="s">
        <v>23</v>
      </c>
      <c r="U110" s="15">
        <f>VLOOKUP($A$108,'集計'!$A$4:$EP$61,76,FALSE)</f>
        <v>201</v>
      </c>
      <c r="V110" s="16">
        <f>VLOOKUP($A$108,'集計'!$A$4:$EP$61,80,FALSE)</f>
        <v>52.84</v>
      </c>
      <c r="W110" s="15">
        <f>VLOOKUP($A$108,'集計'!$A$4:$EP$61,84,FALSE)</f>
        <v>40</v>
      </c>
      <c r="X110" s="16">
        <f>VLOOKUP($A$108,'集計'!$A$4:$EP$61,88,FALSE)</f>
        <v>81.9</v>
      </c>
      <c r="Y110" s="15">
        <f>VLOOKUP($A$108,'集計'!$A$4:$EP$61,92,FALSE)</f>
        <v>7</v>
      </c>
      <c r="Z110" s="16">
        <f>VLOOKUP($A$108,'集計'!$A$4:$EP$61,96,FALSE)</f>
        <v>47</v>
      </c>
      <c r="AA110" s="15">
        <f>VLOOKUP($A$108,'集計'!$A$4:$EP$61,100,FALSE)</f>
        <v>6</v>
      </c>
      <c r="AB110" s="16">
        <f>VLOOKUP($A$108,'集計'!$A$4:$EP$61,104,FALSE)</f>
        <v>89.5</v>
      </c>
      <c r="AC110" s="15">
        <f>VLOOKUP($A$108,'集計'!$A$4:$EP$61,108,FALSE)</f>
        <v>2</v>
      </c>
      <c r="AD110" s="16">
        <f>VLOOKUP($A$108,'集計'!$A$4:$EP$61,112,FALSE)</f>
        <v>22.8</v>
      </c>
      <c r="AE110" s="15">
        <f>VLOOKUP($A$108,'集計'!$A$4:$EP$61,116,FALSE)</f>
        <v>4</v>
      </c>
      <c r="AF110" s="16">
        <f>VLOOKUP($A$108,'集計'!$A$4:$EP$61,120,FALSE)</f>
        <v>47.3</v>
      </c>
      <c r="AG110" s="15">
        <f>VLOOKUP($A$108,'集計'!$A$4:$EP$61,124,FALSE)</f>
        <v>3</v>
      </c>
      <c r="AH110" s="16">
        <f>VLOOKUP($A$108,'集計'!$A$4:$EP$61,128,FALSE)</f>
        <v>10.5</v>
      </c>
      <c r="AI110" s="15">
        <f>VLOOKUP($A$108,'集計'!$A$4:$EP$61,132,FALSE)</f>
        <v>1</v>
      </c>
      <c r="AJ110" s="16">
        <f>VLOOKUP($A$108,'集計'!$A$4:$EP$61,136,FALSE)</f>
        <v>64.6</v>
      </c>
      <c r="AK110" s="15">
        <f>VLOOKUP($A$108,'集計'!$A$4:$EP$61,140,FALSE)</f>
        <v>264</v>
      </c>
      <c r="AL110" s="16">
        <f>VLOOKUP($A$108,'集計'!$A$4:$EP$61,144,FALSE)</f>
        <v>416.44</v>
      </c>
    </row>
    <row r="111" spans="1:38" ht="13.5">
      <c r="A111" s="32" t="s">
        <v>24</v>
      </c>
      <c r="B111" s="15">
        <f>VLOOKUP($A$108,'集計'!$A$4:$EP$61,5,FALSE)</f>
        <v>22</v>
      </c>
      <c r="C111" s="16">
        <f>VLOOKUP($A$108,'集計'!$A$4:$EP$61,9,FALSE)</f>
        <v>6.62</v>
      </c>
      <c r="D111" s="15">
        <f>VLOOKUP($A$108,'集計'!$A$4:$EP$61,13,FALSE)</f>
        <v>13</v>
      </c>
      <c r="E111" s="16">
        <f>VLOOKUP($A$108,'集計'!$A$4:$EP$61,17,FALSE)</f>
        <v>24</v>
      </c>
      <c r="F111" s="15">
        <f>VLOOKUP($A$108,'集計'!$A$4:$EP$61,21,FALSE)</f>
        <v>14</v>
      </c>
      <c r="G111" s="16">
        <f>VLOOKUP($A$108,'集計'!$A$4:$EP$61,25,FALSE)</f>
        <v>81.7</v>
      </c>
      <c r="H111" s="15">
        <f>VLOOKUP($A$108,'集計'!$A$4:$EP$61,29,FALSE)</f>
        <v>18</v>
      </c>
      <c r="I111" s="16">
        <f>VLOOKUP($A$108,'集計'!$A$4:$EP$61,33,FALSE)</f>
        <v>367.2</v>
      </c>
      <c r="J111" s="15">
        <f>VLOOKUP($A$108,'集計'!$A$4:$EP$61,37,FALSE)</f>
        <v>8</v>
      </c>
      <c r="K111" s="16">
        <f>VLOOKUP($A$108,'集計'!$A$4:$EP$61,41,FALSE)</f>
        <v>182.5</v>
      </c>
      <c r="L111" s="15">
        <f>VLOOKUP($A$108,'集計'!$A$4:$EP$61,45,FALSE)</f>
        <v>21</v>
      </c>
      <c r="M111" s="16">
        <f>VLOOKUP($A$108,'集計'!$A$4:$EP$61,49,FALSE)</f>
        <v>578.7</v>
      </c>
      <c r="N111" s="15">
        <f>VLOOKUP($A$108,'集計'!$A$4:$EP$61,53,FALSE)</f>
        <v>6</v>
      </c>
      <c r="O111" s="16">
        <f>VLOOKUP($A$108,'集計'!$A$4:$EP$61,57,FALSE)</f>
        <v>39.8</v>
      </c>
      <c r="P111" s="15">
        <f>VLOOKUP($A$108,'集計'!$A$4:$EP$61,61,FALSE)</f>
        <v>10</v>
      </c>
      <c r="Q111" s="16">
        <f>VLOOKUP($A$108,'集計'!$A$4:$EP$61,65,FALSE)</f>
        <v>734.4</v>
      </c>
      <c r="R111" s="15">
        <f>VLOOKUP($A$108,'集計'!$A$4:$EP$61,69,FALSE)</f>
        <v>112</v>
      </c>
      <c r="S111" s="16">
        <f>VLOOKUP($A$108,'集計'!$A$4:$EP$61,73,FALSE)</f>
        <v>2014.92</v>
      </c>
      <c r="T111" s="32" t="s">
        <v>24</v>
      </c>
      <c r="U111" s="15">
        <f>VLOOKUP($A$108,'集計'!$A$4:$EP$61,77,FALSE)</f>
        <v>22</v>
      </c>
      <c r="V111" s="16">
        <f>VLOOKUP($A$108,'集計'!$A$4:$EP$61,81,FALSE)</f>
        <v>6.36</v>
      </c>
      <c r="W111" s="15">
        <f>VLOOKUP($A$108,'集計'!$A$4:$EP$61,85,FALSE)</f>
        <v>13</v>
      </c>
      <c r="X111" s="16">
        <f>VLOOKUP($A$108,'集計'!$A$4:$EP$61,89,FALSE)</f>
        <v>24</v>
      </c>
      <c r="Y111" s="15">
        <f>VLOOKUP($A$108,'集計'!$A$4:$EP$61,93,FALSE)</f>
        <v>14</v>
      </c>
      <c r="Z111" s="16">
        <f>VLOOKUP($A$108,'集計'!$A$4:$EP$61,97,FALSE)</f>
        <v>74</v>
      </c>
      <c r="AA111" s="15">
        <f>VLOOKUP($A$108,'集計'!$A$4:$EP$61,101,FALSE)</f>
        <v>16</v>
      </c>
      <c r="AB111" s="16">
        <f>VLOOKUP($A$108,'集計'!$A$4:$EP$61,105,FALSE)</f>
        <v>213.8</v>
      </c>
      <c r="AC111" s="15">
        <f>VLOOKUP($A$108,'集計'!$A$4:$EP$61,109,FALSE)</f>
        <v>7</v>
      </c>
      <c r="AD111" s="16">
        <f>VLOOKUP($A$108,'集計'!$A$4:$EP$61,113,FALSE)</f>
        <v>132.4</v>
      </c>
      <c r="AE111" s="15">
        <f>VLOOKUP($A$108,'集計'!$A$4:$EP$61,117,FALSE)</f>
        <v>18</v>
      </c>
      <c r="AF111" s="16">
        <f>VLOOKUP($A$108,'集計'!$A$4:$EP$61,121,FALSE)</f>
        <v>294.7</v>
      </c>
      <c r="AG111" s="15">
        <f>VLOOKUP($A$108,'集計'!$A$4:$EP$61,125,FALSE)</f>
        <v>6</v>
      </c>
      <c r="AH111" s="16">
        <f>VLOOKUP($A$108,'集計'!$A$4:$EP$61,129,FALSE)</f>
        <v>32.6</v>
      </c>
      <c r="AI111" s="15">
        <f>VLOOKUP($A$108,'集計'!$A$4:$EP$61,133,FALSE)</f>
        <v>9</v>
      </c>
      <c r="AJ111" s="16">
        <f>VLOOKUP($A$108,'集計'!$A$4:$EP$61,137,FALSE)</f>
        <v>384.3</v>
      </c>
      <c r="AK111" s="15">
        <f>VLOOKUP($A$108,'集計'!$A$4:$EP$61,141,FALSE)</f>
        <v>105</v>
      </c>
      <c r="AL111" s="16">
        <f>VLOOKUP($A$108,'集計'!$A$4:$EP$61,145,FALSE)</f>
        <v>1162.16</v>
      </c>
    </row>
    <row r="112" spans="1:38" ht="13.5">
      <c r="A112" s="32" t="s">
        <v>39</v>
      </c>
      <c r="B112" s="15">
        <f>VLOOKUP($A$112,'集計'!$A$4:$EP$61,6,FALSE)</f>
        <v>63</v>
      </c>
      <c r="C112" s="16">
        <f>VLOOKUP($A$112,'集計'!$A$4:$EP$61,10,FALSE)</f>
        <v>19.39</v>
      </c>
      <c r="D112" s="15">
        <f>VLOOKUP($A$112,'集計'!$A$4:$EP$61,14,FALSE)</f>
        <v>28</v>
      </c>
      <c r="E112" s="16">
        <f>VLOOKUP($A$112,'集計'!$A$4:$EP$61,18,FALSE)</f>
        <v>52.1</v>
      </c>
      <c r="F112" s="15">
        <f>VLOOKUP($A$112,'集計'!$A$4:$EP$61,22,FALSE)</f>
        <v>12</v>
      </c>
      <c r="G112" s="16">
        <f>VLOOKUP($A$112,'集計'!$A$4:$EP$61,26,FALSE)</f>
        <v>63.2</v>
      </c>
      <c r="H112" s="15">
        <f>VLOOKUP($A$112,'集計'!$A$4:$EP$61,30,FALSE)</f>
        <v>10</v>
      </c>
      <c r="I112" s="16">
        <f>VLOOKUP($A$112,'集計'!$A$4:$EP$61,34,FALSE)</f>
        <v>141.1</v>
      </c>
      <c r="J112" s="15">
        <f>VLOOKUP($A$112,'集計'!$A$4:$EP$61,38,FALSE)</f>
        <v>5</v>
      </c>
      <c r="K112" s="16">
        <f>VLOOKUP($A$112,'集計'!$A$4:$EP$61,42,FALSE)</f>
        <v>133.9</v>
      </c>
      <c r="L112" s="15">
        <f>VLOOKUP($A$112,'集計'!$A$4:$EP$61,46,FALSE)</f>
        <v>3</v>
      </c>
      <c r="M112" s="16">
        <f>VLOOKUP($A$112,'集計'!$A$4:$EP$61,50,FALSE)</f>
        <v>45.6</v>
      </c>
      <c r="N112" s="15">
        <f>VLOOKUP($A$112,'集計'!$A$4:$EP$61,54,FALSE)</f>
        <v>2</v>
      </c>
      <c r="O112" s="16">
        <f>VLOOKUP($A$112,'集計'!$A$4:$EP$61,58,FALSE)</f>
        <v>1.1</v>
      </c>
      <c r="P112" s="15">
        <f>VLOOKUP($A$112,'集計'!$A$4:$EP$61,62,FALSE)</f>
        <v>5</v>
      </c>
      <c r="Q112" s="16">
        <f>VLOOKUP($A$112,'集計'!$A$4:$EP$61,66,FALSE)</f>
        <v>368.7</v>
      </c>
      <c r="R112" s="15">
        <f>VLOOKUP($A$112,'集計'!$A$4:$EP$61,70,FALSE)</f>
        <v>128</v>
      </c>
      <c r="S112" s="16">
        <f>VLOOKUP($A$112,'集計'!$A$4:$EP$61,74,FALSE)</f>
        <v>825.09</v>
      </c>
      <c r="T112" s="32" t="s">
        <v>39</v>
      </c>
      <c r="U112" s="15">
        <f>VLOOKUP($A$112,'集計'!$A$4:$EP$61,78,FALSE)</f>
        <v>62</v>
      </c>
      <c r="V112" s="16">
        <f>VLOOKUP($A$112,'集計'!$A$4:$EP$61,82,FALSE)</f>
        <v>18.44</v>
      </c>
      <c r="W112" s="15">
        <f>VLOOKUP($A$112,'集計'!$A$4:$EP$61,86,FALSE)</f>
        <v>26</v>
      </c>
      <c r="X112" s="16">
        <f>VLOOKUP($A$112,'集計'!$A$4:$EP$61,90,FALSE)</f>
        <v>46.9</v>
      </c>
      <c r="Y112" s="15">
        <f>VLOOKUP($A$112,'集計'!$A$4:$EP$61,94,FALSE)</f>
        <v>11</v>
      </c>
      <c r="Z112" s="16">
        <f>VLOOKUP($A$112,'集計'!$A$4:$EP$61,98,FALSE)</f>
        <v>57.1</v>
      </c>
      <c r="AA112" s="15">
        <f>VLOOKUP($A$112,'集計'!$A$4:$EP$61,102,FALSE)</f>
        <v>10</v>
      </c>
      <c r="AB112" s="16">
        <f>VLOOKUP($A$112,'集計'!$A$4:$EP$61,106,FALSE)</f>
        <v>139.7</v>
      </c>
      <c r="AC112" s="15">
        <f>VLOOKUP($A$112,'集計'!$A$4:$EP$61,110,FALSE)</f>
        <v>5</v>
      </c>
      <c r="AD112" s="16">
        <f>VLOOKUP($A$112,'集計'!$A$4:$EP$61,114,FALSE)</f>
        <v>121.1</v>
      </c>
      <c r="AE112" s="15">
        <f>VLOOKUP($A$112,'集計'!$A$4:$EP$61,118,FALSE)</f>
        <v>3</v>
      </c>
      <c r="AF112" s="16">
        <f>VLOOKUP($A$112,'集計'!$A$4:$EP$61,122,FALSE)</f>
        <v>45.6</v>
      </c>
      <c r="AG112" s="15">
        <f>VLOOKUP($A$112,'集計'!$A$4:$EP$61,126,FALSE)</f>
        <v>2</v>
      </c>
      <c r="AH112" s="16">
        <f>VLOOKUP($A$112,'集計'!$A$4:$EP$61,130,FALSE)</f>
        <v>1.1</v>
      </c>
      <c r="AI112" s="15">
        <f>VLOOKUP($A$112,'集計'!$A$4:$EP$61,134,FALSE)</f>
        <v>5</v>
      </c>
      <c r="AJ112" s="16">
        <f>VLOOKUP($A$112,'集計'!$A$4:$EP$61,138,FALSE)</f>
        <v>215.7</v>
      </c>
      <c r="AK112" s="15">
        <f>VLOOKUP($A$112,'集計'!$A$4:$EP$61,142,FALSE)</f>
        <v>124</v>
      </c>
      <c r="AL112" s="16">
        <f>VLOOKUP($A$112,'集計'!$A$4:$EP$61,146,FALSE)</f>
        <v>645.64</v>
      </c>
    </row>
    <row r="113" spans="1:38" ht="13.5">
      <c r="A113" s="32" t="s">
        <v>22</v>
      </c>
      <c r="B113" s="15">
        <f>VLOOKUP($A$112,'集計'!$A$4:$EP$61,3,FALSE)</f>
        <v>25</v>
      </c>
      <c r="C113" s="16">
        <f>VLOOKUP($A$112,'集計'!$A$4:$EP$61,7,FALSE)</f>
        <v>8.32</v>
      </c>
      <c r="D113" s="15">
        <f>VLOOKUP($A$112,'集計'!$A$4:$EP$61,11,FALSE)</f>
        <v>8</v>
      </c>
      <c r="E113" s="16">
        <f>VLOOKUP($A$112,'集計'!$A$4:$EP$61,15,FALSE)</f>
        <v>14</v>
      </c>
      <c r="F113" s="15">
        <f>VLOOKUP($A$112,'集計'!$A$4:$EP$61,19,FALSE)</f>
        <v>3</v>
      </c>
      <c r="G113" s="16">
        <f>VLOOKUP($A$112,'集計'!$A$4:$EP$61,23,FALSE)</f>
        <v>13.8</v>
      </c>
      <c r="H113" s="15">
        <f>VLOOKUP($A$112,'集計'!$A$4:$EP$61,27,FALSE)</f>
        <v>0</v>
      </c>
      <c r="I113" s="16">
        <f>VLOOKUP($A$112,'集計'!$A$4:$EP$61,31,FALSE)</f>
        <v>0</v>
      </c>
      <c r="J113" s="15">
        <f>VLOOKUP($A$112,'集計'!$A$4:$EP$61,35,FALSE)</f>
        <v>2</v>
      </c>
      <c r="K113" s="16">
        <f>VLOOKUP($A$112,'集計'!$A$4:$EP$61,39,FALSE)</f>
        <v>48.9</v>
      </c>
      <c r="L113" s="15">
        <f>VLOOKUP($A$112,'集計'!$A$4:$EP$61,43,FALSE)</f>
        <v>1</v>
      </c>
      <c r="M113" s="16">
        <f>VLOOKUP($A$112,'集計'!$A$4:$EP$61,47,FALSE)</f>
        <v>6.1</v>
      </c>
      <c r="N113" s="15">
        <f>VLOOKUP($A$112,'集計'!$A$4:$EP$61,51,FALSE)</f>
        <v>2</v>
      </c>
      <c r="O113" s="16">
        <f>VLOOKUP($A$112,'集計'!$A$4:$EP$61,55,FALSE)</f>
        <v>1.1</v>
      </c>
      <c r="P113" s="15">
        <f>VLOOKUP($A$112,'集計'!$A$4:$EP$61,59,FALSE)</f>
        <v>0</v>
      </c>
      <c r="Q113" s="16">
        <f>VLOOKUP($A$112,'集計'!$A$4:$EP$61,63,FALSE)</f>
        <v>0</v>
      </c>
      <c r="R113" s="15">
        <f>VLOOKUP($A$112,'集計'!$A$4:$EP$61,67,FALSE)</f>
        <v>41</v>
      </c>
      <c r="S113" s="16">
        <f>VLOOKUP($A$112,'集計'!$A$4:$EP$61,71,FALSE)</f>
        <v>92.22</v>
      </c>
      <c r="T113" s="32" t="s">
        <v>22</v>
      </c>
      <c r="U113" s="15">
        <f>VLOOKUP($A$112,'集計'!$A$4:$EP$61,75,FALSE)</f>
        <v>25</v>
      </c>
      <c r="V113" s="16">
        <f>VLOOKUP($A$112,'集計'!$A$4:$EP$61,79,FALSE)</f>
        <v>8.24</v>
      </c>
      <c r="W113" s="15">
        <f>VLOOKUP($A$112,'集計'!$A$4:$EP$61,83,FALSE)</f>
        <v>7</v>
      </c>
      <c r="X113" s="16">
        <f>VLOOKUP($A$112,'集計'!$A$4:$EP$61,87,FALSE)</f>
        <v>10.6</v>
      </c>
      <c r="Y113" s="15">
        <f>VLOOKUP($A$112,'集計'!$A$4:$EP$61,91,FALSE)</f>
        <v>2</v>
      </c>
      <c r="Z113" s="16">
        <f>VLOOKUP($A$112,'集計'!$A$4:$EP$61,95,FALSE)</f>
        <v>9.1</v>
      </c>
      <c r="AA113" s="15">
        <f>VLOOKUP($A$112,'集計'!$A$4:$EP$61,99,FALSE)</f>
        <v>0</v>
      </c>
      <c r="AB113" s="16">
        <f>VLOOKUP($A$112,'集計'!$A$4:$EP$61,103,FALSE)</f>
        <v>0</v>
      </c>
      <c r="AC113" s="15">
        <f>VLOOKUP($A$112,'集計'!$A$4:$EP$61,107,FALSE)</f>
        <v>2</v>
      </c>
      <c r="AD113" s="16">
        <f>VLOOKUP($A$112,'集計'!$A$4:$EP$61,111,FALSE)</f>
        <v>48.9</v>
      </c>
      <c r="AE113" s="15">
        <f>VLOOKUP($A$112,'集計'!$A$4:$EP$61,115,FALSE)</f>
        <v>1</v>
      </c>
      <c r="AF113" s="16">
        <f>VLOOKUP($A$112,'集計'!$A$4:$EP$61,119,FALSE)</f>
        <v>6.1</v>
      </c>
      <c r="AG113" s="15">
        <f>VLOOKUP($A$112,'集計'!$A$4:$EP$61,123,FALSE)</f>
        <v>2</v>
      </c>
      <c r="AH113" s="16">
        <f>VLOOKUP($A$112,'集計'!$A$4:$EP$61,127,FALSE)</f>
        <v>1.1</v>
      </c>
      <c r="AI113" s="15">
        <f>VLOOKUP($A$112,'集計'!$A$4:$EP$61,131,FALSE)</f>
        <v>0</v>
      </c>
      <c r="AJ113" s="16">
        <f>VLOOKUP($A$112,'集計'!$A$4:$EP$61,135,FALSE)</f>
        <v>0</v>
      </c>
      <c r="AK113" s="15">
        <f>VLOOKUP($A$112,'集計'!$A$4:$EP$61,139,FALSE)</f>
        <v>39</v>
      </c>
      <c r="AL113" s="16">
        <f>VLOOKUP($A$112,'集計'!$A$4:$EP$61,143,FALSE)</f>
        <v>84.04</v>
      </c>
    </row>
    <row r="114" spans="1:38" ht="13.5">
      <c r="A114" s="32" t="s">
        <v>23</v>
      </c>
      <c r="B114" s="15">
        <f>VLOOKUP($A$112,'集計'!$A$4:$EP$61,4,FALSE)</f>
        <v>30</v>
      </c>
      <c r="C114" s="16">
        <f>VLOOKUP($A$112,'集計'!$A$4:$EP$61,8,FALSE)</f>
        <v>8.24</v>
      </c>
      <c r="D114" s="15">
        <f>VLOOKUP($A$112,'集計'!$A$4:$EP$61,(12),FALSE)</f>
        <v>10</v>
      </c>
      <c r="E114" s="16">
        <f>VLOOKUP($A$112,'集計'!$A$4:$EP$61,16,FALSE)</f>
        <v>19.1</v>
      </c>
      <c r="F114" s="15">
        <f>VLOOKUP($A$112,'集計'!$A$4:$EP$61,20,FALSE)</f>
        <v>1</v>
      </c>
      <c r="G114" s="16">
        <f>VLOOKUP($A$112,'集計'!$A$4:$EP$61,24,FALSE)</f>
        <v>4.4</v>
      </c>
      <c r="H114" s="15">
        <f>VLOOKUP($A$112,'集計'!$A$4:$EP$61,28,FALSE)</f>
        <v>0</v>
      </c>
      <c r="I114" s="16">
        <f>VLOOKUP($A$112,'集計'!$A$4:$EP$61,32,FALSE)</f>
        <v>0</v>
      </c>
      <c r="J114" s="15">
        <f>VLOOKUP($A$112,'集計'!$A$4:$EP$61,36,FALSE)</f>
        <v>0</v>
      </c>
      <c r="K114" s="16">
        <f>VLOOKUP($A$112,'集計'!$A$4:$EP$61,40,FALSE)</f>
        <v>0</v>
      </c>
      <c r="L114" s="15">
        <f>VLOOKUP($A$112,'集計'!$A$4:$EP$61,44,FALSE)</f>
        <v>0</v>
      </c>
      <c r="M114" s="16">
        <f>VLOOKUP($A$112,'集計'!$A$4:$EP$61,48,FALSE)</f>
        <v>0</v>
      </c>
      <c r="N114" s="15">
        <f>VLOOKUP($A$112,'集計'!$A$4:$EP$61,52,FALSE)</f>
        <v>0</v>
      </c>
      <c r="O114" s="16">
        <f>VLOOKUP($A$112,'集計'!$A$4:$EP$61,56,FALSE)</f>
        <v>0</v>
      </c>
      <c r="P114" s="15">
        <f>VLOOKUP($A$112,'集計'!$A$4:$EP$61,60,FALSE)</f>
        <v>1</v>
      </c>
      <c r="Q114" s="16">
        <f>VLOOKUP($A$112,'集計'!$A$4:$EP$61,64,FALSE)</f>
        <v>51.1</v>
      </c>
      <c r="R114" s="15">
        <f>VLOOKUP($A$112,'集計'!$A$4:$EP$61,68,FALSE)</f>
        <v>42</v>
      </c>
      <c r="S114" s="16">
        <f>VLOOKUP($A$112,'集計'!$A$4:$EP$61,72,FALSE)</f>
        <v>82.84</v>
      </c>
      <c r="T114" s="32" t="s">
        <v>23</v>
      </c>
      <c r="U114" s="15">
        <f>VLOOKUP($A$112,'集計'!$A$4:$EP$61,76,FALSE)</f>
        <v>29</v>
      </c>
      <c r="V114" s="16">
        <f>VLOOKUP($A$112,'集計'!$A$4:$EP$61,80,FALSE)</f>
        <v>7.37</v>
      </c>
      <c r="W114" s="15">
        <f>VLOOKUP($A$112,'集計'!$A$4:$EP$61,84,FALSE)</f>
        <v>9</v>
      </c>
      <c r="X114" s="16">
        <f>VLOOKUP($A$112,'集計'!$A$4:$EP$61,88,FALSE)</f>
        <v>17.3</v>
      </c>
      <c r="Y114" s="15">
        <f>VLOOKUP($A$112,'集計'!$A$4:$EP$61,92,FALSE)</f>
        <v>1</v>
      </c>
      <c r="Z114" s="16">
        <f>VLOOKUP($A$112,'集計'!$A$4:$EP$61,96,FALSE)</f>
        <v>4.4</v>
      </c>
      <c r="AA114" s="15">
        <f>VLOOKUP($A$112,'集計'!$A$4:$EP$61,100,FALSE)</f>
        <v>0</v>
      </c>
      <c r="AB114" s="16">
        <f>VLOOKUP($A$112,'集計'!$A$4:$EP$61,104,FALSE)</f>
        <v>0</v>
      </c>
      <c r="AC114" s="15">
        <f>VLOOKUP($A$112,'集計'!$A$4:$EP$61,108,FALSE)</f>
        <v>0</v>
      </c>
      <c r="AD114" s="16">
        <f>VLOOKUP($A$112,'集計'!$A$4:$EP$61,112,FALSE)</f>
        <v>0</v>
      </c>
      <c r="AE114" s="15">
        <f>VLOOKUP($A$112,'集計'!$A$4:$EP$61,116,FALSE)</f>
        <v>0</v>
      </c>
      <c r="AF114" s="16">
        <f>VLOOKUP($A$112,'集計'!$A$4:$EP$61,120,FALSE)</f>
        <v>0</v>
      </c>
      <c r="AG114" s="15">
        <f>VLOOKUP($A$112,'集計'!$A$4:$EP$61,124,FALSE)</f>
        <v>0</v>
      </c>
      <c r="AH114" s="16">
        <f>VLOOKUP($A$112,'集計'!$A$4:$EP$61,128,FALSE)</f>
        <v>0</v>
      </c>
      <c r="AI114" s="15">
        <f>VLOOKUP($A$112,'集計'!$A$4:$EP$61,132,FALSE)</f>
        <v>1</v>
      </c>
      <c r="AJ114" s="16">
        <f>VLOOKUP($A$112,'集計'!$A$4:$EP$61,136,FALSE)</f>
        <v>51.1</v>
      </c>
      <c r="AK114" s="15">
        <f>VLOOKUP($A$112,'集計'!$A$4:$EP$61,140,FALSE)</f>
        <v>40</v>
      </c>
      <c r="AL114" s="16">
        <f>VLOOKUP($A$112,'集計'!$A$4:$EP$61,144,FALSE)</f>
        <v>80.17</v>
      </c>
    </row>
    <row r="115" spans="1:38" ht="13.5">
      <c r="A115" s="32" t="s">
        <v>24</v>
      </c>
      <c r="B115" s="15">
        <f>VLOOKUP($A$112,'集計'!$A$4:$EP$61,5,FALSE)</f>
        <v>8</v>
      </c>
      <c r="C115" s="16">
        <f>VLOOKUP($A$112,'集計'!$A$4:$EP$61,9,FALSE)</f>
        <v>2.83</v>
      </c>
      <c r="D115" s="15">
        <f>VLOOKUP($A$112,'集計'!$A$4:$EP$61,13,FALSE)</f>
        <v>10</v>
      </c>
      <c r="E115" s="16">
        <f>VLOOKUP($A$112,'集計'!$A$4:$EP$61,17,FALSE)</f>
        <v>19</v>
      </c>
      <c r="F115" s="15">
        <f>VLOOKUP($A$112,'集計'!$A$4:$EP$61,21,FALSE)</f>
        <v>8</v>
      </c>
      <c r="G115" s="16">
        <f>VLOOKUP($A$112,'集計'!$A$4:$EP$61,25,FALSE)</f>
        <v>45</v>
      </c>
      <c r="H115" s="15">
        <f>VLOOKUP($A$112,'集計'!$A$4:$EP$61,29,FALSE)</f>
        <v>10</v>
      </c>
      <c r="I115" s="16">
        <f>VLOOKUP($A$112,'集計'!$A$4:$EP$61,33,FALSE)</f>
        <v>141.1</v>
      </c>
      <c r="J115" s="15">
        <f>VLOOKUP($A$112,'集計'!$A$4:$EP$61,37,FALSE)</f>
        <v>3</v>
      </c>
      <c r="K115" s="16">
        <f>VLOOKUP($A$112,'集計'!$A$4:$EP$61,41,FALSE)</f>
        <v>85</v>
      </c>
      <c r="L115" s="15">
        <f>VLOOKUP($A$112,'集計'!$A$4:$EP$61,45,FALSE)</f>
        <v>2</v>
      </c>
      <c r="M115" s="16">
        <f>VLOOKUP($A$112,'集計'!$A$4:$EP$61,49,FALSE)</f>
        <v>39.5</v>
      </c>
      <c r="N115" s="15">
        <f>VLOOKUP($A$112,'集計'!$A$4:$EP$61,53,FALSE)</f>
        <v>0</v>
      </c>
      <c r="O115" s="16">
        <f>VLOOKUP($A$112,'集計'!$A$4:$EP$61,57,FALSE)</f>
        <v>0</v>
      </c>
      <c r="P115" s="15">
        <f>VLOOKUP($A$112,'集計'!$A$4:$EP$61,61,FALSE)</f>
        <v>4</v>
      </c>
      <c r="Q115" s="16">
        <f>VLOOKUP($A$112,'集計'!$A$4:$EP$61,65,FALSE)</f>
        <v>317.6</v>
      </c>
      <c r="R115" s="15">
        <f>VLOOKUP($A$112,'集計'!$A$4:$EP$61,69,FALSE)</f>
        <v>45</v>
      </c>
      <c r="S115" s="16">
        <f>VLOOKUP($A$112,'集計'!$A$4:$EP$61,73,FALSE)</f>
        <v>650.03</v>
      </c>
      <c r="T115" s="32" t="s">
        <v>24</v>
      </c>
      <c r="U115" s="15">
        <f>VLOOKUP($A$112,'集計'!$A$4:$EP$61,77,FALSE)</f>
        <v>8</v>
      </c>
      <c r="V115" s="16">
        <f>VLOOKUP($A$112,'集計'!$A$4:$EP$61,81,FALSE)</f>
        <v>2.83</v>
      </c>
      <c r="W115" s="15">
        <f>VLOOKUP($A$112,'集計'!$A$4:$EP$61,85,FALSE)</f>
        <v>10</v>
      </c>
      <c r="X115" s="16">
        <f>VLOOKUP($A$112,'集計'!$A$4:$EP$61,89,FALSE)</f>
        <v>19</v>
      </c>
      <c r="Y115" s="15">
        <f>VLOOKUP($A$112,'集計'!$A$4:$EP$61,93,FALSE)</f>
        <v>8</v>
      </c>
      <c r="Z115" s="16">
        <f>VLOOKUP($A$112,'集計'!$A$4:$EP$61,97,FALSE)</f>
        <v>43.6</v>
      </c>
      <c r="AA115" s="15">
        <f>VLOOKUP($A$112,'集計'!$A$4:$EP$61,101,FALSE)</f>
        <v>10</v>
      </c>
      <c r="AB115" s="16">
        <f>VLOOKUP($A$112,'集計'!$A$4:$EP$61,105,FALSE)</f>
        <v>139.7</v>
      </c>
      <c r="AC115" s="15">
        <f>VLOOKUP($A$112,'集計'!$A$4:$EP$61,109,FALSE)</f>
        <v>3</v>
      </c>
      <c r="AD115" s="16">
        <f>VLOOKUP($A$112,'集計'!$A$4:$EP$61,113,FALSE)</f>
        <v>72.2</v>
      </c>
      <c r="AE115" s="15">
        <f>VLOOKUP($A$112,'集計'!$A$4:$EP$61,117,FALSE)</f>
        <v>2</v>
      </c>
      <c r="AF115" s="16">
        <f>VLOOKUP($A$112,'集計'!$A$4:$EP$61,121,FALSE)</f>
        <v>39.5</v>
      </c>
      <c r="AG115" s="15">
        <f>VLOOKUP($A$112,'集計'!$A$4:$EP$61,125,FALSE)</f>
        <v>0</v>
      </c>
      <c r="AH115" s="16">
        <f>VLOOKUP($A$112,'集計'!$A$4:$EP$61,129,FALSE)</f>
        <v>0</v>
      </c>
      <c r="AI115" s="15">
        <f>VLOOKUP($A$112,'集計'!$A$4:$EP$61,133,FALSE)</f>
        <v>4</v>
      </c>
      <c r="AJ115" s="16">
        <f>VLOOKUP($A$112,'集計'!$A$4:$EP$61,137,FALSE)</f>
        <v>164.6</v>
      </c>
      <c r="AK115" s="15">
        <f>VLOOKUP($A$112,'集計'!$A$4:$EP$61,141,FALSE)</f>
        <v>45</v>
      </c>
      <c r="AL115" s="16">
        <f>VLOOKUP($A$112,'集計'!$A$4:$EP$61,145,FALSE)</f>
        <v>481.43</v>
      </c>
    </row>
    <row r="116" spans="1:38" ht="13.5">
      <c r="A116" s="32" t="s">
        <v>40</v>
      </c>
      <c r="B116" s="15">
        <f>VLOOKUP($A$116,'集計'!$A$4:$EP$61,6,FALSE)</f>
        <v>356</v>
      </c>
      <c r="C116" s="16">
        <f>VLOOKUP($A$116,'集計'!$A$4:$EP$61,10,FALSE)</f>
        <v>84.29</v>
      </c>
      <c r="D116" s="15">
        <f>VLOOKUP($A$116,'集計'!$A$4:$EP$61,14,FALSE)</f>
        <v>72</v>
      </c>
      <c r="E116" s="16">
        <f>VLOOKUP($A$116,'集計'!$A$4:$EP$61,18,FALSE)</f>
        <v>140.8</v>
      </c>
      <c r="F116" s="15">
        <f>VLOOKUP($A$116,'集計'!$A$4:$EP$61,22,FALSE)</f>
        <v>38</v>
      </c>
      <c r="G116" s="16">
        <f>VLOOKUP($A$116,'集計'!$A$4:$EP$61,26,FALSE)</f>
        <v>230.7</v>
      </c>
      <c r="H116" s="15">
        <f>VLOOKUP($A$116,'集計'!$A$4:$EP$61,30,FALSE)</f>
        <v>35</v>
      </c>
      <c r="I116" s="16">
        <f>VLOOKUP($A$116,'集計'!$A$4:$EP$61,34,FALSE)</f>
        <v>918.7</v>
      </c>
      <c r="J116" s="15">
        <f>VLOOKUP($A$116,'集計'!$A$4:$EP$61,38,FALSE)</f>
        <v>10</v>
      </c>
      <c r="K116" s="16">
        <f>VLOOKUP($A$116,'集計'!$A$4:$EP$61,42,FALSE)</f>
        <v>258.7</v>
      </c>
      <c r="L116" s="15">
        <f>VLOOKUP($A$116,'集計'!$A$4:$EP$61,46,FALSE)</f>
        <v>4</v>
      </c>
      <c r="M116" s="16">
        <f>VLOOKUP($A$116,'集計'!$A$4:$EP$61,50,FALSE)</f>
        <v>223.3</v>
      </c>
      <c r="N116" s="15">
        <f>VLOOKUP($A$116,'集計'!$A$4:$EP$61,54,FALSE)</f>
        <v>1</v>
      </c>
      <c r="O116" s="16">
        <f>VLOOKUP($A$116,'集計'!$A$4:$EP$61,58,FALSE)</f>
        <v>15</v>
      </c>
      <c r="P116" s="15">
        <f>VLOOKUP($A$116,'集計'!$A$4:$EP$61,62,FALSE)</f>
        <v>4</v>
      </c>
      <c r="Q116" s="16">
        <f>VLOOKUP($A$116,'集計'!$A$4:$EP$61,66,FALSE)</f>
        <v>406.6</v>
      </c>
      <c r="R116" s="15">
        <f>VLOOKUP($A$116,'集計'!$A$4:$EP$61,70,FALSE)</f>
        <v>520</v>
      </c>
      <c r="S116" s="16">
        <f>VLOOKUP($A$116,'集計'!$A$4:$EP$61,74,FALSE)</f>
        <v>2278.09</v>
      </c>
      <c r="T116" s="32" t="s">
        <v>40</v>
      </c>
      <c r="U116" s="15">
        <f>VLOOKUP($A$116,'集計'!$A$4:$EP$61,78,FALSE)</f>
        <v>330</v>
      </c>
      <c r="V116" s="16">
        <f>VLOOKUP($A$116,'集計'!$A$4:$EP$61,82,FALSE)</f>
        <v>76.2</v>
      </c>
      <c r="W116" s="15">
        <f>VLOOKUP($A$116,'集計'!$A$4:$EP$61,86,FALSE)</f>
        <v>65</v>
      </c>
      <c r="X116" s="16">
        <f>VLOOKUP($A$116,'集計'!$A$4:$EP$61,90,FALSE)</f>
        <v>122.1</v>
      </c>
      <c r="Y116" s="15">
        <f>VLOOKUP($A$116,'集計'!$A$4:$EP$61,94,FALSE)</f>
        <v>36</v>
      </c>
      <c r="Z116" s="16">
        <f>VLOOKUP($A$116,'集計'!$A$4:$EP$61,98,FALSE)</f>
        <v>195.9</v>
      </c>
      <c r="AA116" s="15">
        <f>VLOOKUP($A$116,'集計'!$A$4:$EP$61,102,FALSE)</f>
        <v>34</v>
      </c>
      <c r="AB116" s="16">
        <f>VLOOKUP($A$116,'集計'!$A$4:$EP$61,106,FALSE)</f>
        <v>674.1</v>
      </c>
      <c r="AC116" s="15">
        <f>VLOOKUP($A$116,'集計'!$A$4:$EP$61,110,FALSE)</f>
        <v>9</v>
      </c>
      <c r="AD116" s="16">
        <f>VLOOKUP($A$116,'集計'!$A$4:$EP$61,114,FALSE)</f>
        <v>195.4</v>
      </c>
      <c r="AE116" s="15">
        <f>VLOOKUP($A$116,'集計'!$A$4:$EP$61,118,FALSE)</f>
        <v>2</v>
      </c>
      <c r="AF116" s="16">
        <f>VLOOKUP($A$116,'集計'!$A$4:$EP$61,122,FALSE)</f>
        <v>113.1</v>
      </c>
      <c r="AG116" s="15">
        <f>VLOOKUP($A$116,'集計'!$A$4:$EP$61,126,FALSE)</f>
        <v>1</v>
      </c>
      <c r="AH116" s="16">
        <f>VLOOKUP($A$116,'集計'!$A$4:$EP$61,130,FALSE)</f>
        <v>13.7</v>
      </c>
      <c r="AI116" s="15">
        <f>VLOOKUP($A$116,'集計'!$A$4:$EP$61,134,FALSE)</f>
        <v>4</v>
      </c>
      <c r="AJ116" s="16">
        <f>VLOOKUP($A$116,'集計'!$A$4:$EP$61,138,FALSE)</f>
        <v>257.9</v>
      </c>
      <c r="AK116" s="15">
        <f>VLOOKUP($A$116,'集計'!$A$4:$EP$61,142,FALSE)</f>
        <v>481</v>
      </c>
      <c r="AL116" s="16">
        <f>VLOOKUP($A$116,'集計'!$A$4:$EP$61,146,FALSE)</f>
        <v>1648.4</v>
      </c>
    </row>
    <row r="117" spans="1:38" ht="13.5">
      <c r="A117" s="32" t="s">
        <v>22</v>
      </c>
      <c r="B117" s="15">
        <f>VLOOKUP($A$116,'集計'!$A$4:$EP$61,3,FALSE)</f>
        <v>181</v>
      </c>
      <c r="C117" s="16">
        <f>VLOOKUP($A$116,'集計'!$A$4:$EP$61,7,FALSE)</f>
        <v>42.4</v>
      </c>
      <c r="D117" s="15">
        <f>VLOOKUP($A$116,'集計'!$A$4:$EP$61,11,FALSE)</f>
        <v>36</v>
      </c>
      <c r="E117" s="16">
        <f>VLOOKUP($A$116,'集計'!$A$4:$EP$61,15,FALSE)</f>
        <v>60.6</v>
      </c>
      <c r="F117" s="15">
        <f>VLOOKUP($A$116,'集計'!$A$4:$EP$61,19,FALSE)</f>
        <v>12</v>
      </c>
      <c r="G117" s="16">
        <f>VLOOKUP($A$116,'集計'!$A$4:$EP$61,23,FALSE)</f>
        <v>63.6</v>
      </c>
      <c r="H117" s="15">
        <f>VLOOKUP($A$116,'集計'!$A$4:$EP$61,27,FALSE)</f>
        <v>9</v>
      </c>
      <c r="I117" s="16">
        <f>VLOOKUP($A$116,'集計'!$A$4:$EP$61,31,FALSE)</f>
        <v>149.2</v>
      </c>
      <c r="J117" s="15">
        <f>VLOOKUP($A$116,'集計'!$A$4:$EP$61,35,FALSE)</f>
        <v>2</v>
      </c>
      <c r="K117" s="16">
        <f>VLOOKUP($A$116,'集計'!$A$4:$EP$61,39,FALSE)</f>
        <v>56.3</v>
      </c>
      <c r="L117" s="15">
        <f>VLOOKUP($A$116,'集計'!$A$4:$EP$61,43,FALSE)</f>
        <v>0</v>
      </c>
      <c r="M117" s="16">
        <f>VLOOKUP($A$116,'集計'!$A$4:$EP$61,47,FALSE)</f>
        <v>0</v>
      </c>
      <c r="N117" s="15">
        <f>VLOOKUP($A$116,'集計'!$A$4:$EP$61,51,FALSE)</f>
        <v>0</v>
      </c>
      <c r="O117" s="16">
        <f>VLOOKUP($A$116,'集計'!$A$4:$EP$61,55,FALSE)</f>
        <v>0</v>
      </c>
      <c r="P117" s="15">
        <f>VLOOKUP($A$116,'集計'!$A$4:$EP$61,59,FALSE)</f>
        <v>0</v>
      </c>
      <c r="Q117" s="16">
        <f>VLOOKUP($A$116,'集計'!$A$4:$EP$61,63,FALSE)</f>
        <v>0</v>
      </c>
      <c r="R117" s="15">
        <f>VLOOKUP($A$116,'集計'!$A$4:$EP$61,67,FALSE)</f>
        <v>240</v>
      </c>
      <c r="S117" s="16">
        <f>VLOOKUP($A$116,'集計'!$A$4:$EP$61,71,FALSE)</f>
        <v>372.1</v>
      </c>
      <c r="T117" s="32" t="s">
        <v>22</v>
      </c>
      <c r="U117" s="15">
        <f>VLOOKUP($A$116,'集計'!$A$4:$EP$61,75,FALSE)</f>
        <v>167</v>
      </c>
      <c r="V117" s="16">
        <f>VLOOKUP($A$116,'集計'!$A$4:$EP$61,79,FALSE)</f>
        <v>38.88</v>
      </c>
      <c r="W117" s="15">
        <f>VLOOKUP($A$116,'集計'!$A$4:$EP$61,83,FALSE)</f>
        <v>31</v>
      </c>
      <c r="X117" s="16">
        <f>VLOOKUP($A$116,'集計'!$A$4:$EP$61,87,FALSE)</f>
        <v>48.6</v>
      </c>
      <c r="Y117" s="15">
        <f>VLOOKUP($A$116,'集計'!$A$4:$EP$61,91,FALSE)</f>
        <v>10</v>
      </c>
      <c r="Z117" s="16">
        <f>VLOOKUP($A$116,'集計'!$A$4:$EP$61,95,FALSE)</f>
        <v>51.7</v>
      </c>
      <c r="AA117" s="15">
        <f>VLOOKUP($A$116,'集計'!$A$4:$EP$61,99,FALSE)</f>
        <v>9</v>
      </c>
      <c r="AB117" s="16">
        <f>VLOOKUP($A$116,'集計'!$A$4:$EP$61,103,FALSE)</f>
        <v>114</v>
      </c>
      <c r="AC117" s="15">
        <f>VLOOKUP($A$116,'集計'!$A$4:$EP$61,107,FALSE)</f>
        <v>2</v>
      </c>
      <c r="AD117" s="16">
        <f>VLOOKUP($A$116,'集計'!$A$4:$EP$61,111,FALSE)</f>
        <v>56</v>
      </c>
      <c r="AE117" s="15">
        <f>VLOOKUP($A$116,'集計'!$A$4:$EP$61,115,FALSE)</f>
        <v>0</v>
      </c>
      <c r="AF117" s="16">
        <f>VLOOKUP($A$116,'集計'!$A$4:$EP$61,119,FALSE)</f>
        <v>0</v>
      </c>
      <c r="AG117" s="15">
        <f>VLOOKUP($A$116,'集計'!$A$4:$EP$61,123,FALSE)</f>
        <v>0</v>
      </c>
      <c r="AH117" s="16">
        <f>VLOOKUP($A$116,'集計'!$A$4:$EP$61,127,FALSE)</f>
        <v>0</v>
      </c>
      <c r="AI117" s="15">
        <f>VLOOKUP($A$116,'集計'!$A$4:$EP$61,131,FALSE)</f>
        <v>0</v>
      </c>
      <c r="AJ117" s="16">
        <f>VLOOKUP($A$116,'集計'!$A$4:$EP$61,135,FALSE)</f>
        <v>0</v>
      </c>
      <c r="AK117" s="15">
        <f>VLOOKUP($A$116,'集計'!$A$4:$EP$61,139,FALSE)</f>
        <v>219</v>
      </c>
      <c r="AL117" s="16">
        <f>VLOOKUP($A$116,'集計'!$A$4:$EP$61,143,FALSE)</f>
        <v>309.18</v>
      </c>
    </row>
    <row r="118" spans="1:38" ht="13.5">
      <c r="A118" s="32" t="s">
        <v>23</v>
      </c>
      <c r="B118" s="15">
        <f>VLOOKUP($A$116,'集計'!$A$4:$EP$61,4,FALSE)</f>
        <v>132</v>
      </c>
      <c r="C118" s="16">
        <f>VLOOKUP($A$116,'集計'!$A$4:$EP$61,8,FALSE)</f>
        <v>31.7</v>
      </c>
      <c r="D118" s="15">
        <f>VLOOKUP($A$116,'集計'!$A$4:$EP$61,(12),FALSE)</f>
        <v>14</v>
      </c>
      <c r="E118" s="16">
        <f>VLOOKUP($A$116,'集計'!$A$4:$EP$61,16,FALSE)</f>
        <v>29.6</v>
      </c>
      <c r="F118" s="15">
        <f>VLOOKUP($A$116,'集計'!$A$4:$EP$61,20,FALSE)</f>
        <v>7</v>
      </c>
      <c r="G118" s="16">
        <f>VLOOKUP($A$116,'集計'!$A$4:$EP$61,24,FALSE)</f>
        <v>36.9</v>
      </c>
      <c r="H118" s="15">
        <f>VLOOKUP($A$116,'集計'!$A$4:$EP$61,28,FALSE)</f>
        <v>9</v>
      </c>
      <c r="I118" s="16">
        <f>VLOOKUP($A$116,'集計'!$A$4:$EP$61,32,FALSE)</f>
        <v>301.5</v>
      </c>
      <c r="J118" s="15">
        <f>VLOOKUP($A$116,'集計'!$A$4:$EP$61,36,FALSE)</f>
        <v>1</v>
      </c>
      <c r="K118" s="16">
        <f>VLOOKUP($A$116,'集計'!$A$4:$EP$61,40,FALSE)</f>
        <v>30.7</v>
      </c>
      <c r="L118" s="15">
        <f>VLOOKUP($A$116,'集計'!$A$4:$EP$61,44,FALSE)</f>
        <v>1</v>
      </c>
      <c r="M118" s="16">
        <f>VLOOKUP($A$116,'集計'!$A$4:$EP$61,48,FALSE)</f>
        <v>137.8</v>
      </c>
      <c r="N118" s="15">
        <f>VLOOKUP($A$116,'集計'!$A$4:$EP$61,52,FALSE)</f>
        <v>0</v>
      </c>
      <c r="O118" s="16">
        <f>VLOOKUP($A$116,'集計'!$A$4:$EP$61,56,FALSE)</f>
        <v>0</v>
      </c>
      <c r="P118" s="15">
        <f>VLOOKUP($A$116,'集計'!$A$4:$EP$61,60,FALSE)</f>
        <v>0</v>
      </c>
      <c r="Q118" s="16">
        <f>VLOOKUP($A$116,'集計'!$A$4:$EP$61,64,FALSE)</f>
        <v>0</v>
      </c>
      <c r="R118" s="15">
        <f>VLOOKUP($A$116,'集計'!$A$4:$EP$61,68,FALSE)</f>
        <v>164</v>
      </c>
      <c r="S118" s="16">
        <f>VLOOKUP($A$116,'集計'!$A$4:$EP$61,72,FALSE)</f>
        <v>568.2</v>
      </c>
      <c r="T118" s="32" t="s">
        <v>23</v>
      </c>
      <c r="U118" s="15">
        <f>VLOOKUP($A$116,'集計'!$A$4:$EP$61,76,FALSE)</f>
        <v>120</v>
      </c>
      <c r="V118" s="16">
        <f>VLOOKUP($A$116,'集計'!$A$4:$EP$61,80,FALSE)</f>
        <v>27.22</v>
      </c>
      <c r="W118" s="15">
        <f>VLOOKUP($A$116,'集計'!$A$4:$EP$61,84,FALSE)</f>
        <v>13</v>
      </c>
      <c r="X118" s="16">
        <f>VLOOKUP($A$116,'集計'!$A$4:$EP$61,88,FALSE)</f>
        <v>26.1</v>
      </c>
      <c r="Y118" s="15">
        <f>VLOOKUP($A$116,'集計'!$A$4:$EP$61,92,FALSE)</f>
        <v>7</v>
      </c>
      <c r="Z118" s="16">
        <f>VLOOKUP($A$116,'集計'!$A$4:$EP$61,96,FALSE)</f>
        <v>30.7</v>
      </c>
      <c r="AA118" s="15">
        <f>VLOOKUP($A$116,'集計'!$A$4:$EP$61,100,FALSE)</f>
        <v>8</v>
      </c>
      <c r="AB118" s="16">
        <f>VLOOKUP($A$116,'集計'!$A$4:$EP$61,104,FALSE)</f>
        <v>181.5</v>
      </c>
      <c r="AC118" s="15">
        <f>VLOOKUP($A$116,'集計'!$A$4:$EP$61,108,FALSE)</f>
        <v>0</v>
      </c>
      <c r="AD118" s="16">
        <f>VLOOKUP($A$116,'集計'!$A$4:$EP$61,112,FALSE)</f>
        <v>0</v>
      </c>
      <c r="AE118" s="15">
        <f>VLOOKUP($A$116,'集計'!$A$4:$EP$61,116,FALSE)</f>
        <v>1</v>
      </c>
      <c r="AF118" s="16">
        <f>VLOOKUP($A$116,'集計'!$A$4:$EP$61,120,FALSE)</f>
        <v>99.4</v>
      </c>
      <c r="AG118" s="15">
        <f>VLOOKUP($A$116,'集計'!$A$4:$EP$61,124,FALSE)</f>
        <v>0</v>
      </c>
      <c r="AH118" s="16">
        <f>VLOOKUP($A$116,'集計'!$A$4:$EP$61,128,FALSE)</f>
        <v>0</v>
      </c>
      <c r="AI118" s="15">
        <f>VLOOKUP($A$116,'集計'!$A$4:$EP$61,132,FALSE)</f>
        <v>0</v>
      </c>
      <c r="AJ118" s="16">
        <f>VLOOKUP($A$116,'集計'!$A$4:$EP$61,136,FALSE)</f>
        <v>0</v>
      </c>
      <c r="AK118" s="15">
        <f>VLOOKUP($A$116,'集計'!$A$4:$EP$61,140,FALSE)</f>
        <v>149</v>
      </c>
      <c r="AL118" s="16">
        <f>VLOOKUP($A$116,'集計'!$A$4:$EP$61,144,FALSE)</f>
        <v>364.92</v>
      </c>
    </row>
    <row r="119" spans="1:38" ht="13.5">
      <c r="A119" s="32" t="s">
        <v>24</v>
      </c>
      <c r="B119" s="15">
        <f>VLOOKUP($A$116,'集計'!$A$4:$EP$61,5,FALSE)</f>
        <v>43</v>
      </c>
      <c r="C119" s="16">
        <f>VLOOKUP($A$116,'集計'!$A$4:$EP$61,9,FALSE)</f>
        <v>10.19</v>
      </c>
      <c r="D119" s="15">
        <f>VLOOKUP($A$116,'集計'!$A$4:$EP$61,13,FALSE)</f>
        <v>22</v>
      </c>
      <c r="E119" s="16">
        <f>VLOOKUP($A$116,'集計'!$A$4:$EP$61,17,FALSE)</f>
        <v>50.6</v>
      </c>
      <c r="F119" s="15">
        <f>VLOOKUP($A$116,'集計'!$A$4:$EP$61,21,FALSE)</f>
        <v>19</v>
      </c>
      <c r="G119" s="16">
        <f>VLOOKUP($A$116,'集計'!$A$4:$EP$61,25,FALSE)</f>
        <v>130.2</v>
      </c>
      <c r="H119" s="15">
        <f>VLOOKUP($A$116,'集計'!$A$4:$EP$61,29,FALSE)</f>
        <v>17</v>
      </c>
      <c r="I119" s="16">
        <f>VLOOKUP($A$116,'集計'!$A$4:$EP$61,33,FALSE)</f>
        <v>468</v>
      </c>
      <c r="J119" s="15">
        <f>VLOOKUP($A$116,'集計'!$A$4:$EP$61,37,FALSE)</f>
        <v>7</v>
      </c>
      <c r="K119" s="16">
        <f>VLOOKUP($A$116,'集計'!$A$4:$EP$61,41,FALSE)</f>
        <v>171.7</v>
      </c>
      <c r="L119" s="15">
        <f>VLOOKUP($A$116,'集計'!$A$4:$EP$61,45,FALSE)</f>
        <v>3</v>
      </c>
      <c r="M119" s="16">
        <f>VLOOKUP($A$116,'集計'!$A$4:$EP$61,49,FALSE)</f>
        <v>85.5</v>
      </c>
      <c r="N119" s="15">
        <f>VLOOKUP($A$116,'集計'!$A$4:$EP$61,53,FALSE)</f>
        <v>1</v>
      </c>
      <c r="O119" s="16">
        <f>VLOOKUP($A$116,'集計'!$A$4:$EP$61,57,FALSE)</f>
        <v>15</v>
      </c>
      <c r="P119" s="15">
        <f>VLOOKUP($A$116,'集計'!$A$4:$EP$61,61,FALSE)</f>
        <v>4</v>
      </c>
      <c r="Q119" s="16">
        <f>VLOOKUP($A$116,'集計'!$A$4:$EP$61,65,FALSE)</f>
        <v>406.6</v>
      </c>
      <c r="R119" s="15">
        <f>VLOOKUP($A$116,'集計'!$A$4:$EP$61,69,FALSE)</f>
        <v>116</v>
      </c>
      <c r="S119" s="16">
        <f>VLOOKUP($A$116,'集計'!$A$4:$EP$61,73,FALSE)</f>
        <v>1337.79</v>
      </c>
      <c r="T119" s="32" t="s">
        <v>24</v>
      </c>
      <c r="U119" s="15">
        <f>VLOOKUP($A$116,'集計'!$A$4:$EP$61,77,FALSE)</f>
        <v>43</v>
      </c>
      <c r="V119" s="16">
        <f>VLOOKUP($A$116,'集計'!$A$4:$EP$61,81,FALSE)</f>
        <v>10.1</v>
      </c>
      <c r="W119" s="15">
        <f>VLOOKUP($A$116,'集計'!$A$4:$EP$61,85,FALSE)</f>
        <v>21</v>
      </c>
      <c r="X119" s="16">
        <f>VLOOKUP($A$116,'集計'!$A$4:$EP$61,89,FALSE)</f>
        <v>47.4</v>
      </c>
      <c r="Y119" s="15">
        <f>VLOOKUP($A$116,'集計'!$A$4:$EP$61,93,FALSE)</f>
        <v>19</v>
      </c>
      <c r="Z119" s="16">
        <f>VLOOKUP($A$116,'集計'!$A$4:$EP$61,97,FALSE)</f>
        <v>113.5</v>
      </c>
      <c r="AA119" s="15">
        <f>VLOOKUP($A$116,'集計'!$A$4:$EP$61,101,FALSE)</f>
        <v>17</v>
      </c>
      <c r="AB119" s="16">
        <f>VLOOKUP($A$116,'集計'!$A$4:$EP$61,105,FALSE)</f>
        <v>378.6</v>
      </c>
      <c r="AC119" s="15">
        <f>VLOOKUP($A$116,'集計'!$A$4:$EP$61,109,FALSE)</f>
        <v>7</v>
      </c>
      <c r="AD119" s="16">
        <f>VLOOKUP($A$116,'集計'!$A$4:$EP$61,113,FALSE)</f>
        <v>139.4</v>
      </c>
      <c r="AE119" s="15">
        <f>VLOOKUP($A$116,'集計'!$A$4:$EP$61,117,FALSE)</f>
        <v>1</v>
      </c>
      <c r="AF119" s="16">
        <f>VLOOKUP($A$116,'集計'!$A$4:$EP$61,121,FALSE)</f>
        <v>13.7</v>
      </c>
      <c r="AG119" s="15">
        <f>VLOOKUP($A$116,'集計'!$A$4:$EP$61,125,FALSE)</f>
        <v>1</v>
      </c>
      <c r="AH119" s="16">
        <f>VLOOKUP($A$116,'集計'!$A$4:$EP$61,129,FALSE)</f>
        <v>13.7</v>
      </c>
      <c r="AI119" s="15">
        <f>VLOOKUP($A$116,'集計'!$A$4:$EP$61,133,FALSE)</f>
        <v>4</v>
      </c>
      <c r="AJ119" s="16">
        <f>VLOOKUP($A$116,'集計'!$A$4:$EP$61,137,FALSE)</f>
        <v>257.9</v>
      </c>
      <c r="AK119" s="15">
        <f>VLOOKUP($A$116,'集計'!$A$4:$EP$61,141,FALSE)</f>
        <v>113</v>
      </c>
      <c r="AL119" s="16">
        <f>VLOOKUP($A$116,'集計'!$A$4:$EP$61,145,FALSE)</f>
        <v>974.3</v>
      </c>
    </row>
    <row r="120" spans="1:38" ht="13.5">
      <c r="A120" s="32"/>
      <c r="B120" s="19"/>
      <c r="C120" s="20"/>
      <c r="D120" s="19"/>
      <c r="E120" s="20"/>
      <c r="F120" s="19"/>
      <c r="G120" s="20"/>
      <c r="H120" s="19"/>
      <c r="I120" s="20"/>
      <c r="J120" s="19"/>
      <c r="K120" s="20"/>
      <c r="L120" s="19"/>
      <c r="M120" s="20"/>
      <c r="N120" s="19"/>
      <c r="O120" s="20"/>
      <c r="P120" s="19"/>
      <c r="Q120" s="20"/>
      <c r="R120" s="19"/>
      <c r="S120" s="20"/>
      <c r="T120" s="32"/>
      <c r="U120" s="19"/>
      <c r="V120" s="20"/>
      <c r="W120" s="19"/>
      <c r="X120" s="20"/>
      <c r="Y120" s="19"/>
      <c r="Z120" s="20"/>
      <c r="AA120" s="19"/>
      <c r="AB120" s="20"/>
      <c r="AC120" s="19"/>
      <c r="AD120" s="20"/>
      <c r="AE120" s="19"/>
      <c r="AF120" s="20"/>
      <c r="AG120" s="19"/>
      <c r="AH120" s="20"/>
      <c r="AI120" s="19"/>
      <c r="AJ120" s="20"/>
      <c r="AK120" s="19"/>
      <c r="AL120" s="20"/>
    </row>
    <row r="121" spans="1:38" ht="13.5">
      <c r="A121" s="32" t="s">
        <v>41</v>
      </c>
      <c r="B121" s="15">
        <f>VLOOKUP($A$121,'集計'!$A$4:$EP$61,6,FALSE)</f>
        <v>509</v>
      </c>
      <c r="C121" s="16">
        <f>VLOOKUP($A$121,'集計'!$A$4:$EP$61,10,FALSE)</f>
        <v>123.5</v>
      </c>
      <c r="D121" s="15">
        <f>VLOOKUP($A$121,'集計'!$A$4:$EP$61,14,FALSE)</f>
        <v>57</v>
      </c>
      <c r="E121" s="16">
        <f>VLOOKUP($A$121,'集計'!$A$4:$EP$61,18,FALSE)</f>
        <v>83.6</v>
      </c>
      <c r="F121" s="15">
        <f>VLOOKUP($A$121,'集計'!$A$4:$EP$61,22,FALSE)</f>
        <v>20</v>
      </c>
      <c r="G121" s="16">
        <f>VLOOKUP($A$121,'集計'!$A$4:$EP$61,26,FALSE)</f>
        <v>106</v>
      </c>
      <c r="H121" s="15">
        <f>VLOOKUP($A$121,'集計'!$A$4:$EP$61,30,FALSE)</f>
        <v>31</v>
      </c>
      <c r="I121" s="16">
        <f>VLOOKUP($A$121,'集計'!$A$4:$EP$61,34,FALSE)</f>
        <v>961.9</v>
      </c>
      <c r="J121" s="15">
        <f>VLOOKUP($A$121,'集計'!$A$4:$EP$61,38,FALSE)</f>
        <v>18</v>
      </c>
      <c r="K121" s="16">
        <f>VLOOKUP($A$121,'集計'!$A$4:$EP$61,42,FALSE)</f>
        <v>268.7</v>
      </c>
      <c r="L121" s="15">
        <f>VLOOKUP($A$121,'集計'!$A$4:$EP$61,46,FALSE)</f>
        <v>0</v>
      </c>
      <c r="M121" s="16">
        <f>VLOOKUP($A$121,'集計'!$A$4:$EP$61,50,FALSE)</f>
        <v>0</v>
      </c>
      <c r="N121" s="15">
        <f>VLOOKUP($A$121,'集計'!$A$4:$EP$61,54,FALSE)</f>
        <v>5</v>
      </c>
      <c r="O121" s="16">
        <f>VLOOKUP($A$121,'集計'!$A$4:$EP$61,58,FALSE)</f>
        <v>37.9</v>
      </c>
      <c r="P121" s="15">
        <f>VLOOKUP($A$121,'集計'!$A$4:$EP$61,62,FALSE)</f>
        <v>10</v>
      </c>
      <c r="Q121" s="16">
        <f>VLOOKUP($A$121,'集計'!$A$4:$EP$61,66,FALSE)</f>
        <v>932.5</v>
      </c>
      <c r="R121" s="15">
        <f>VLOOKUP($A$121,'集計'!$A$4:$EP$61,70,FALSE)</f>
        <v>650</v>
      </c>
      <c r="S121" s="16">
        <f>VLOOKUP($A$121,'集計'!$A$4:$EP$61,74,FALSE)</f>
        <v>2514.1</v>
      </c>
      <c r="T121" s="32" t="s">
        <v>41</v>
      </c>
      <c r="U121" s="15">
        <f>VLOOKUP($A$121,'集計'!$A$4:$EP$61,78,FALSE)</f>
        <v>461</v>
      </c>
      <c r="V121" s="16">
        <f>VLOOKUP($A$121,'集計'!$A$4:$EP$61,82,FALSE)</f>
        <v>111.14</v>
      </c>
      <c r="W121" s="15">
        <f>VLOOKUP($A$121,'集計'!$A$4:$EP$61,86,FALSE)</f>
        <v>53</v>
      </c>
      <c r="X121" s="16">
        <f>VLOOKUP($A$121,'集計'!$A$4:$EP$61,90,FALSE)</f>
        <v>79.8</v>
      </c>
      <c r="Y121" s="15">
        <f>VLOOKUP($A$121,'集計'!$A$4:$EP$61,94,FALSE)</f>
        <v>19</v>
      </c>
      <c r="Z121" s="16">
        <f>VLOOKUP($A$121,'集計'!$A$4:$EP$61,98,FALSE)</f>
        <v>98.5</v>
      </c>
      <c r="AA121" s="15">
        <f>VLOOKUP($A$121,'集計'!$A$4:$EP$61,102,FALSE)</f>
        <v>30</v>
      </c>
      <c r="AB121" s="16">
        <f>VLOOKUP($A$121,'集計'!$A$4:$EP$61,106,FALSE)</f>
        <v>792.5</v>
      </c>
      <c r="AC121" s="15">
        <f>VLOOKUP($A$121,'集計'!$A$4:$EP$61,110,FALSE)</f>
        <v>18</v>
      </c>
      <c r="AD121" s="16">
        <f>VLOOKUP($A$121,'集計'!$A$4:$EP$61,114,FALSE)</f>
        <v>207.9</v>
      </c>
      <c r="AE121" s="15">
        <f>VLOOKUP($A$121,'集計'!$A$4:$EP$61,118,FALSE)</f>
        <v>0</v>
      </c>
      <c r="AF121" s="16">
        <f>VLOOKUP($A$121,'集計'!$A$4:$EP$61,122,FALSE)</f>
        <v>0</v>
      </c>
      <c r="AG121" s="15">
        <f>VLOOKUP($A$121,'集計'!$A$4:$EP$61,126,FALSE)</f>
        <v>4</v>
      </c>
      <c r="AH121" s="16">
        <f>VLOOKUP($A$121,'集計'!$A$4:$EP$61,130,FALSE)</f>
        <v>32</v>
      </c>
      <c r="AI121" s="15">
        <f>VLOOKUP($A$121,'集計'!$A$4:$EP$61,134,FALSE)</f>
        <v>10</v>
      </c>
      <c r="AJ121" s="16">
        <f>VLOOKUP($A$121,'集計'!$A$4:$EP$61,138,FALSE)</f>
        <v>570.3</v>
      </c>
      <c r="AK121" s="15">
        <f>VLOOKUP($A$121,'集計'!$A$4:$EP$61,142,FALSE)</f>
        <v>595</v>
      </c>
      <c r="AL121" s="16">
        <f>VLOOKUP($A$121,'集計'!$A$4:$EP$61,146,FALSE)</f>
        <v>1892.14</v>
      </c>
    </row>
    <row r="122" spans="1:38" ht="13.5">
      <c r="A122" s="32" t="s">
        <v>22</v>
      </c>
      <c r="B122" s="15">
        <f>VLOOKUP($A$121,'集計'!$A$4:$EP$61,3,FALSE)</f>
        <v>355</v>
      </c>
      <c r="C122" s="16">
        <f>VLOOKUP($A$121,'集計'!$A$4:$EP$61,7,FALSE)</f>
        <v>87.23</v>
      </c>
      <c r="D122" s="15">
        <f>VLOOKUP($A$121,'集計'!$A$4:$EP$61,11,FALSE)</f>
        <v>27</v>
      </c>
      <c r="E122" s="16">
        <f>VLOOKUP($A$121,'集計'!$A$4:$EP$61,15,FALSE)</f>
        <v>40.5</v>
      </c>
      <c r="F122" s="15">
        <f>VLOOKUP($A$121,'集計'!$A$4:$EP$61,19,FALSE)</f>
        <v>7</v>
      </c>
      <c r="G122" s="16">
        <f>VLOOKUP($A$121,'集計'!$A$4:$EP$61,23,FALSE)</f>
        <v>33.9</v>
      </c>
      <c r="H122" s="15">
        <f>VLOOKUP($A$121,'集計'!$A$4:$EP$61,27,FALSE)</f>
        <v>5</v>
      </c>
      <c r="I122" s="16">
        <f>VLOOKUP($A$121,'集計'!$A$4:$EP$61,31,FALSE)</f>
        <v>143.7</v>
      </c>
      <c r="J122" s="15">
        <f>VLOOKUP($A$121,'集計'!$A$4:$EP$61,35,FALSE)</f>
        <v>4</v>
      </c>
      <c r="K122" s="16">
        <f>VLOOKUP($A$121,'集計'!$A$4:$EP$61,39,FALSE)</f>
        <v>32.3</v>
      </c>
      <c r="L122" s="15">
        <f>VLOOKUP($A$121,'集計'!$A$4:$EP$61,43,FALSE)</f>
        <v>0</v>
      </c>
      <c r="M122" s="16">
        <f>VLOOKUP($A$121,'集計'!$A$4:$EP$61,47,FALSE)</f>
        <v>0</v>
      </c>
      <c r="N122" s="15">
        <f>VLOOKUP($A$121,'集計'!$A$4:$EP$61,51,FALSE)</f>
        <v>2</v>
      </c>
      <c r="O122" s="16">
        <f>VLOOKUP($A$121,'集計'!$A$4:$EP$61,55,FALSE)</f>
        <v>1.3</v>
      </c>
      <c r="P122" s="15">
        <f>VLOOKUP($A$121,'集計'!$A$4:$EP$61,59,FALSE)</f>
        <v>1</v>
      </c>
      <c r="Q122" s="16">
        <f>VLOOKUP($A$121,'集計'!$A$4:$EP$61,63,FALSE)</f>
        <v>287.4</v>
      </c>
      <c r="R122" s="15">
        <f>VLOOKUP($A$121,'集計'!$A$4:$EP$61,67,FALSE)</f>
        <v>401</v>
      </c>
      <c r="S122" s="16">
        <f>VLOOKUP($A$121,'集計'!$A$4:$EP$61,71,FALSE)</f>
        <v>626.33</v>
      </c>
      <c r="T122" s="32" t="s">
        <v>22</v>
      </c>
      <c r="U122" s="15">
        <f>VLOOKUP($A$121,'集計'!$A$4:$EP$61,75,FALSE)</f>
        <v>330</v>
      </c>
      <c r="V122" s="16">
        <f>VLOOKUP($A$121,'集計'!$A$4:$EP$61,79,FALSE)</f>
        <v>80.84</v>
      </c>
      <c r="W122" s="15">
        <f>VLOOKUP($A$121,'集計'!$A$4:$EP$61,83,FALSE)</f>
        <v>27</v>
      </c>
      <c r="X122" s="16">
        <f>VLOOKUP($A$121,'集計'!$A$4:$EP$61,87,FALSE)</f>
        <v>40.4</v>
      </c>
      <c r="Y122" s="15">
        <f>VLOOKUP($A$121,'集計'!$A$4:$EP$61,91,FALSE)</f>
        <v>7</v>
      </c>
      <c r="Z122" s="16">
        <f>VLOOKUP($A$121,'集計'!$A$4:$EP$61,95,FALSE)</f>
        <v>33.9</v>
      </c>
      <c r="AA122" s="15">
        <f>VLOOKUP($A$121,'集計'!$A$4:$EP$61,99,FALSE)</f>
        <v>5</v>
      </c>
      <c r="AB122" s="16">
        <f>VLOOKUP($A$121,'集計'!$A$4:$EP$61,103,FALSE)</f>
        <v>136.2</v>
      </c>
      <c r="AC122" s="15">
        <f>VLOOKUP($A$121,'集計'!$A$4:$EP$61,107,FALSE)</f>
        <v>4</v>
      </c>
      <c r="AD122" s="16">
        <f>VLOOKUP($A$121,'集計'!$A$4:$EP$61,111,FALSE)</f>
        <v>32.3</v>
      </c>
      <c r="AE122" s="15">
        <f>VLOOKUP($A$121,'集計'!$A$4:$EP$61,115,FALSE)</f>
        <v>0</v>
      </c>
      <c r="AF122" s="16">
        <f>VLOOKUP($A$121,'集計'!$A$4:$EP$61,119,FALSE)</f>
        <v>0</v>
      </c>
      <c r="AG122" s="15">
        <f>VLOOKUP($A$121,'集計'!$A$4:$EP$61,123,FALSE)</f>
        <v>2</v>
      </c>
      <c r="AH122" s="16">
        <f>VLOOKUP($A$121,'集計'!$A$4:$EP$61,127,FALSE)</f>
        <v>0.7</v>
      </c>
      <c r="AI122" s="15">
        <f>VLOOKUP($A$121,'集計'!$A$4:$EP$61,131,FALSE)</f>
        <v>1</v>
      </c>
      <c r="AJ122" s="16">
        <f>VLOOKUP($A$121,'集計'!$A$4:$EP$61,135,FALSE)</f>
        <v>86.2</v>
      </c>
      <c r="AK122" s="15">
        <f>VLOOKUP($A$121,'集計'!$A$4:$EP$61,139,FALSE)</f>
        <v>376</v>
      </c>
      <c r="AL122" s="16">
        <f>VLOOKUP($A$121,'集計'!$A$4:$EP$61,143,FALSE)</f>
        <v>410.54</v>
      </c>
    </row>
    <row r="123" spans="1:38" ht="13.5">
      <c r="A123" s="32" t="s">
        <v>23</v>
      </c>
      <c r="B123" s="15">
        <f>VLOOKUP($A$121,'集計'!$A$4:$EP$61,4,FALSE)</f>
        <v>133</v>
      </c>
      <c r="C123" s="16">
        <f>VLOOKUP($A$121,'集計'!$A$4:$EP$61,8,FALSE)</f>
        <v>31.6</v>
      </c>
      <c r="D123" s="15">
        <f>VLOOKUP($A$121,'集計'!$A$4:$EP$61,(12),FALSE)</f>
        <v>24</v>
      </c>
      <c r="E123" s="16">
        <f>VLOOKUP($A$121,'集計'!$A$4:$EP$61,16,FALSE)</f>
        <v>32</v>
      </c>
      <c r="F123" s="15">
        <f>VLOOKUP($A$121,'集計'!$A$4:$EP$61,20,FALSE)</f>
        <v>5</v>
      </c>
      <c r="G123" s="16">
        <f>VLOOKUP($A$121,'集計'!$A$4:$EP$61,24,FALSE)</f>
        <v>21.5</v>
      </c>
      <c r="H123" s="15">
        <f>VLOOKUP($A$121,'集計'!$A$4:$EP$61,28,FALSE)</f>
        <v>5</v>
      </c>
      <c r="I123" s="16">
        <f>VLOOKUP($A$121,'集計'!$A$4:$EP$61,32,FALSE)</f>
        <v>136.3</v>
      </c>
      <c r="J123" s="15">
        <f>VLOOKUP($A$121,'集計'!$A$4:$EP$61,36,FALSE)</f>
        <v>1</v>
      </c>
      <c r="K123" s="16">
        <f>VLOOKUP($A$121,'集計'!$A$4:$EP$61,40,FALSE)</f>
        <v>34.1</v>
      </c>
      <c r="L123" s="15">
        <f>VLOOKUP($A$121,'集計'!$A$4:$EP$61,44,FALSE)</f>
        <v>0</v>
      </c>
      <c r="M123" s="16">
        <f>VLOOKUP($A$121,'集計'!$A$4:$EP$61,48,FALSE)</f>
        <v>0</v>
      </c>
      <c r="N123" s="15">
        <f>VLOOKUP($A$121,'集計'!$A$4:$EP$61,52,FALSE)</f>
        <v>2</v>
      </c>
      <c r="O123" s="16">
        <f>VLOOKUP($A$121,'集計'!$A$4:$EP$61,56,FALSE)</f>
        <v>6.2</v>
      </c>
      <c r="P123" s="15">
        <f>VLOOKUP($A$121,'集計'!$A$4:$EP$61,60,FALSE)</f>
        <v>0</v>
      </c>
      <c r="Q123" s="16">
        <f>VLOOKUP($A$121,'集計'!$A$4:$EP$61,64,FALSE)</f>
        <v>0</v>
      </c>
      <c r="R123" s="15">
        <f>VLOOKUP($A$121,'集計'!$A$4:$EP$61,68,FALSE)</f>
        <v>170</v>
      </c>
      <c r="S123" s="16">
        <f>VLOOKUP($A$121,'集計'!$A$4:$EP$61,72,FALSE)</f>
        <v>261.7</v>
      </c>
      <c r="T123" s="32" t="s">
        <v>23</v>
      </c>
      <c r="U123" s="15">
        <f>VLOOKUP($A$121,'集計'!$A$4:$EP$61,76,FALSE)</f>
        <v>115</v>
      </c>
      <c r="V123" s="16">
        <f>VLOOKUP($A$121,'集計'!$A$4:$EP$61,80,FALSE)</f>
        <v>27.06</v>
      </c>
      <c r="W123" s="15">
        <f>VLOOKUP($A$121,'集計'!$A$4:$EP$61,84,FALSE)</f>
        <v>20</v>
      </c>
      <c r="X123" s="16">
        <f>VLOOKUP($A$121,'集計'!$A$4:$EP$61,88,FALSE)</f>
        <v>28.7</v>
      </c>
      <c r="Y123" s="15">
        <f>VLOOKUP($A$121,'集計'!$A$4:$EP$61,92,FALSE)</f>
        <v>5</v>
      </c>
      <c r="Z123" s="16">
        <f>VLOOKUP($A$121,'集計'!$A$4:$EP$61,96,FALSE)</f>
        <v>21.5</v>
      </c>
      <c r="AA123" s="15">
        <f>VLOOKUP($A$121,'集計'!$A$4:$EP$61,100,FALSE)</f>
        <v>5</v>
      </c>
      <c r="AB123" s="16">
        <f>VLOOKUP($A$121,'集計'!$A$4:$EP$61,104,FALSE)</f>
        <v>117.9</v>
      </c>
      <c r="AC123" s="15">
        <f>VLOOKUP($A$121,'集計'!$A$4:$EP$61,108,FALSE)</f>
        <v>1</v>
      </c>
      <c r="AD123" s="16">
        <f>VLOOKUP($A$121,'集計'!$A$4:$EP$61,112,FALSE)</f>
        <v>3.1</v>
      </c>
      <c r="AE123" s="15">
        <f>VLOOKUP($A$121,'集計'!$A$4:$EP$61,116,FALSE)</f>
        <v>0</v>
      </c>
      <c r="AF123" s="16">
        <f>VLOOKUP($A$121,'集計'!$A$4:$EP$61,120,FALSE)</f>
        <v>0</v>
      </c>
      <c r="AG123" s="15">
        <f>VLOOKUP($A$121,'集計'!$A$4:$EP$61,124,FALSE)</f>
        <v>1</v>
      </c>
      <c r="AH123" s="16">
        <f>VLOOKUP($A$121,'集計'!$A$4:$EP$61,128,FALSE)</f>
        <v>0.9</v>
      </c>
      <c r="AI123" s="15">
        <f>VLOOKUP($A$121,'集計'!$A$4:$EP$61,132,FALSE)</f>
        <v>0</v>
      </c>
      <c r="AJ123" s="16">
        <f>VLOOKUP($A$121,'集計'!$A$4:$EP$61,136,FALSE)</f>
        <v>0</v>
      </c>
      <c r="AK123" s="15">
        <f>VLOOKUP($A$121,'集計'!$A$4:$EP$61,140,FALSE)</f>
        <v>147</v>
      </c>
      <c r="AL123" s="16">
        <f>VLOOKUP($A$121,'集計'!$A$4:$EP$61,144,FALSE)</f>
        <v>199.16</v>
      </c>
    </row>
    <row r="124" spans="1:38" ht="13.5">
      <c r="A124" s="32" t="s">
        <v>24</v>
      </c>
      <c r="B124" s="15">
        <f>VLOOKUP($A$121,'集計'!$A$4:$EP$61,5,FALSE)</f>
        <v>21</v>
      </c>
      <c r="C124" s="16">
        <f>VLOOKUP($A$121,'集計'!$A$4:$EP$61,9,FALSE)</f>
        <v>4.67</v>
      </c>
      <c r="D124" s="15">
        <f>VLOOKUP($A$121,'集計'!$A$4:$EP$61,13,FALSE)</f>
        <v>6</v>
      </c>
      <c r="E124" s="16">
        <f>VLOOKUP($A$121,'集計'!$A$4:$EP$61,17,FALSE)</f>
        <v>11.1</v>
      </c>
      <c r="F124" s="15">
        <f>VLOOKUP($A$121,'集計'!$A$4:$EP$61,21,FALSE)</f>
        <v>8</v>
      </c>
      <c r="G124" s="16">
        <f>VLOOKUP($A$121,'集計'!$A$4:$EP$61,25,FALSE)</f>
        <v>50.6</v>
      </c>
      <c r="H124" s="15">
        <f>VLOOKUP($A$121,'集計'!$A$4:$EP$61,29,FALSE)</f>
        <v>21</v>
      </c>
      <c r="I124" s="16">
        <f>VLOOKUP($A$121,'集計'!$A$4:$EP$61,33,FALSE)</f>
        <v>681.9</v>
      </c>
      <c r="J124" s="15">
        <f>VLOOKUP($A$121,'集計'!$A$4:$EP$61,37,FALSE)</f>
        <v>13</v>
      </c>
      <c r="K124" s="16">
        <f>VLOOKUP($A$121,'集計'!$A$4:$EP$61,41,FALSE)</f>
        <v>202.3</v>
      </c>
      <c r="L124" s="15">
        <f>VLOOKUP($A$121,'集計'!$A$4:$EP$61,45,FALSE)</f>
        <v>0</v>
      </c>
      <c r="M124" s="16">
        <f>VLOOKUP($A$121,'集計'!$A$4:$EP$61,49,FALSE)</f>
        <v>0</v>
      </c>
      <c r="N124" s="15">
        <f>VLOOKUP($A$121,'集計'!$A$4:$EP$61,53,FALSE)</f>
        <v>1</v>
      </c>
      <c r="O124" s="16">
        <f>VLOOKUP($A$121,'集計'!$A$4:$EP$61,57,FALSE)</f>
        <v>30.4</v>
      </c>
      <c r="P124" s="15">
        <f>VLOOKUP($A$121,'集計'!$A$4:$EP$61,61,FALSE)</f>
        <v>9</v>
      </c>
      <c r="Q124" s="16">
        <f>VLOOKUP($A$121,'集計'!$A$4:$EP$61,65,FALSE)</f>
        <v>645.1</v>
      </c>
      <c r="R124" s="15">
        <f>VLOOKUP($A$121,'集計'!$A$4:$EP$61,69,FALSE)</f>
        <v>79</v>
      </c>
      <c r="S124" s="16">
        <f>VLOOKUP($A$121,'集計'!$A$4:$EP$61,73,FALSE)</f>
        <v>1626.07</v>
      </c>
      <c r="T124" s="32" t="s">
        <v>24</v>
      </c>
      <c r="U124" s="15">
        <f>VLOOKUP($A$121,'集計'!$A$4:$EP$61,77,FALSE)</f>
        <v>16</v>
      </c>
      <c r="V124" s="16">
        <f>VLOOKUP($A$121,'集計'!$A$4:$EP$61,81,FALSE)</f>
        <v>3.24</v>
      </c>
      <c r="W124" s="15">
        <f>VLOOKUP($A$121,'集計'!$A$4:$EP$61,85,FALSE)</f>
        <v>6</v>
      </c>
      <c r="X124" s="16">
        <f>VLOOKUP($A$121,'集計'!$A$4:$EP$61,89,FALSE)</f>
        <v>10.7</v>
      </c>
      <c r="Y124" s="15">
        <f>VLOOKUP($A$121,'集計'!$A$4:$EP$61,93,FALSE)</f>
        <v>7</v>
      </c>
      <c r="Z124" s="16">
        <f>VLOOKUP($A$121,'集計'!$A$4:$EP$61,97,FALSE)</f>
        <v>43.1</v>
      </c>
      <c r="AA124" s="15">
        <f>VLOOKUP($A$121,'集計'!$A$4:$EP$61,101,FALSE)</f>
        <v>20</v>
      </c>
      <c r="AB124" s="16">
        <f>VLOOKUP($A$121,'集計'!$A$4:$EP$61,105,FALSE)</f>
        <v>538.4</v>
      </c>
      <c r="AC124" s="15">
        <f>VLOOKUP($A$121,'集計'!$A$4:$EP$61,109,FALSE)</f>
        <v>13</v>
      </c>
      <c r="AD124" s="16">
        <f>VLOOKUP($A$121,'集計'!$A$4:$EP$61,113,FALSE)</f>
        <v>172.5</v>
      </c>
      <c r="AE124" s="15">
        <f>VLOOKUP($A$121,'集計'!$A$4:$EP$61,117,FALSE)</f>
        <v>0</v>
      </c>
      <c r="AF124" s="16">
        <f>VLOOKUP($A$121,'集計'!$A$4:$EP$61,121,FALSE)</f>
        <v>0</v>
      </c>
      <c r="AG124" s="15">
        <f>VLOOKUP($A$121,'集計'!$A$4:$EP$61,125,FALSE)</f>
        <v>1</v>
      </c>
      <c r="AH124" s="16">
        <f>VLOOKUP($A$121,'集計'!$A$4:$EP$61,129,FALSE)</f>
        <v>30.4</v>
      </c>
      <c r="AI124" s="15">
        <f>VLOOKUP($A$121,'集計'!$A$4:$EP$61,133,FALSE)</f>
        <v>9</v>
      </c>
      <c r="AJ124" s="16">
        <f>VLOOKUP($A$121,'集計'!$A$4:$EP$61,137,FALSE)</f>
        <v>484.1</v>
      </c>
      <c r="AK124" s="15">
        <f>VLOOKUP($A$121,'集計'!$A$4:$EP$61,141,FALSE)</f>
        <v>72</v>
      </c>
      <c r="AL124" s="16">
        <f>VLOOKUP($A$121,'集計'!$A$4:$EP$61,145,FALSE)</f>
        <v>1282.44</v>
      </c>
    </row>
    <row r="125" spans="1:38" ht="13.5">
      <c r="A125" s="32" t="s">
        <v>42</v>
      </c>
      <c r="B125" s="15">
        <f>VLOOKUP($A$125,'集計'!$A$4:$EP$61,6,FALSE)</f>
        <v>244</v>
      </c>
      <c r="C125" s="16">
        <f>VLOOKUP($A$125,'集計'!$A$4:$EP$61,10,FALSE)</f>
        <v>55.31</v>
      </c>
      <c r="D125" s="15">
        <f>VLOOKUP($A$125,'集計'!$A$4:$EP$61,14,FALSE)</f>
        <v>39</v>
      </c>
      <c r="E125" s="16">
        <f>VLOOKUP($A$125,'集計'!$A$4:$EP$61,18,FALSE)</f>
        <v>82.9</v>
      </c>
      <c r="F125" s="15">
        <f>VLOOKUP($A$125,'集計'!$A$4:$EP$61,22,FALSE)</f>
        <v>20</v>
      </c>
      <c r="G125" s="16">
        <f>VLOOKUP($A$125,'集計'!$A$4:$EP$61,26,FALSE)</f>
        <v>102.6</v>
      </c>
      <c r="H125" s="15">
        <f>VLOOKUP($A$125,'集計'!$A$4:$EP$61,30,FALSE)</f>
        <v>22</v>
      </c>
      <c r="I125" s="16">
        <f>VLOOKUP($A$125,'集計'!$A$4:$EP$61,34,FALSE)</f>
        <v>1069.3</v>
      </c>
      <c r="J125" s="15">
        <f>VLOOKUP($A$125,'集計'!$A$4:$EP$61,38,FALSE)</f>
        <v>14</v>
      </c>
      <c r="K125" s="16">
        <f>VLOOKUP($A$125,'集計'!$A$4:$EP$61,42,FALSE)</f>
        <v>305.8</v>
      </c>
      <c r="L125" s="15">
        <f>VLOOKUP($A$125,'集計'!$A$4:$EP$61,46,FALSE)</f>
        <v>6</v>
      </c>
      <c r="M125" s="16">
        <f>VLOOKUP($A$125,'集計'!$A$4:$EP$61,50,FALSE)</f>
        <v>51.7</v>
      </c>
      <c r="N125" s="15">
        <f>VLOOKUP($A$125,'集計'!$A$4:$EP$61,54,FALSE)</f>
        <v>3</v>
      </c>
      <c r="O125" s="16">
        <f>VLOOKUP($A$125,'集計'!$A$4:$EP$61,58,FALSE)</f>
        <v>7.4</v>
      </c>
      <c r="P125" s="15">
        <f>VLOOKUP($A$125,'集計'!$A$4:$EP$61,62,FALSE)</f>
        <v>1</v>
      </c>
      <c r="Q125" s="16">
        <f>VLOOKUP($A$125,'集計'!$A$4:$EP$61,66,FALSE)</f>
        <v>118.1</v>
      </c>
      <c r="R125" s="15">
        <f>VLOOKUP($A$125,'集計'!$A$4:$EP$61,70,FALSE)</f>
        <v>349</v>
      </c>
      <c r="S125" s="16">
        <f>VLOOKUP($A$125,'集計'!$A$4:$EP$61,74,FALSE)</f>
        <v>1793.11</v>
      </c>
      <c r="T125" s="32" t="s">
        <v>42</v>
      </c>
      <c r="U125" s="15">
        <f>VLOOKUP($A$125,'集計'!$A$4:$EP$61,78,FALSE)</f>
        <v>232</v>
      </c>
      <c r="V125" s="16">
        <f>VLOOKUP($A$125,'集計'!$A$4:$EP$61,82,FALSE)</f>
        <v>53.38</v>
      </c>
      <c r="W125" s="15">
        <f>VLOOKUP($A$125,'集計'!$A$4:$EP$61,86,FALSE)</f>
        <v>31</v>
      </c>
      <c r="X125" s="16">
        <f>VLOOKUP($A$125,'集計'!$A$4:$EP$61,90,FALSE)</f>
        <v>58.7</v>
      </c>
      <c r="Y125" s="15">
        <f>VLOOKUP($A$125,'集計'!$A$4:$EP$61,94,FALSE)</f>
        <v>18</v>
      </c>
      <c r="Z125" s="16">
        <f>VLOOKUP($A$125,'集計'!$A$4:$EP$61,98,FALSE)</f>
        <v>86.5</v>
      </c>
      <c r="AA125" s="15">
        <f>VLOOKUP($A$125,'集計'!$A$4:$EP$61,102,FALSE)</f>
        <v>21</v>
      </c>
      <c r="AB125" s="16">
        <f>VLOOKUP($A$125,'集計'!$A$4:$EP$61,106,FALSE)</f>
        <v>391.31</v>
      </c>
      <c r="AC125" s="15">
        <f>VLOOKUP($A$125,'集計'!$A$4:$EP$61,110,FALSE)</f>
        <v>14</v>
      </c>
      <c r="AD125" s="16">
        <f>VLOOKUP($A$125,'集計'!$A$4:$EP$61,114,FALSE)</f>
        <v>279</v>
      </c>
      <c r="AE125" s="15">
        <f>VLOOKUP($A$125,'集計'!$A$4:$EP$61,118,FALSE)</f>
        <v>5</v>
      </c>
      <c r="AF125" s="16">
        <f>VLOOKUP($A$125,'集計'!$A$4:$EP$61,122,FALSE)</f>
        <v>49.2</v>
      </c>
      <c r="AG125" s="15">
        <f>VLOOKUP($A$125,'集計'!$A$4:$EP$61,126,FALSE)</f>
        <v>3</v>
      </c>
      <c r="AH125" s="16">
        <f>VLOOKUP($A$125,'集計'!$A$4:$EP$61,130,FALSE)</f>
        <v>6.8</v>
      </c>
      <c r="AI125" s="15">
        <f>VLOOKUP($A$125,'集計'!$A$4:$EP$61,134,FALSE)</f>
        <v>1</v>
      </c>
      <c r="AJ125" s="16">
        <f>VLOOKUP($A$125,'集計'!$A$4:$EP$61,138,FALSE)</f>
        <v>95.9</v>
      </c>
      <c r="AK125" s="15">
        <f>VLOOKUP($A$125,'集計'!$A$4:$EP$61,142,FALSE)</f>
        <v>325</v>
      </c>
      <c r="AL125" s="16">
        <f>VLOOKUP($A$125,'集計'!$A$4:$EP$61,146,FALSE)</f>
        <v>1020.79</v>
      </c>
    </row>
    <row r="126" spans="1:38" ht="13.5">
      <c r="A126" s="32" t="s">
        <v>22</v>
      </c>
      <c r="B126" s="15">
        <f>VLOOKUP($A$125,'集計'!$A$4:$EP$61,3,FALSE)</f>
        <v>155</v>
      </c>
      <c r="C126" s="16">
        <f>VLOOKUP($A$125,'集計'!$A$4:$EP$61,7,FALSE)</f>
        <v>31.65</v>
      </c>
      <c r="D126" s="15">
        <f>VLOOKUP($A$125,'集計'!$A$4:$EP$61,11,FALSE)</f>
        <v>20</v>
      </c>
      <c r="E126" s="16">
        <f>VLOOKUP($A$125,'集計'!$A$4:$EP$61,15,FALSE)</f>
        <v>39.1</v>
      </c>
      <c r="F126" s="15">
        <f>VLOOKUP($A$125,'集計'!$A$4:$EP$61,19,FALSE)</f>
        <v>5</v>
      </c>
      <c r="G126" s="16">
        <f>VLOOKUP($A$125,'集計'!$A$4:$EP$61,23,FALSE)</f>
        <v>26.2</v>
      </c>
      <c r="H126" s="15">
        <f>VLOOKUP($A$125,'集計'!$A$4:$EP$61,27,FALSE)</f>
        <v>5</v>
      </c>
      <c r="I126" s="16">
        <f>VLOOKUP($A$125,'集計'!$A$4:$EP$61,31,FALSE)</f>
        <v>68.7</v>
      </c>
      <c r="J126" s="15">
        <f>VLOOKUP($A$125,'集計'!$A$4:$EP$61,35,FALSE)</f>
        <v>3</v>
      </c>
      <c r="K126" s="16">
        <f>VLOOKUP($A$125,'集計'!$A$4:$EP$61,39,FALSE)</f>
        <v>45.6</v>
      </c>
      <c r="L126" s="15">
        <f>VLOOKUP($A$125,'集計'!$A$4:$EP$61,43,FALSE)</f>
        <v>4</v>
      </c>
      <c r="M126" s="16">
        <f>VLOOKUP($A$125,'集計'!$A$4:$EP$61,47,FALSE)</f>
        <v>26.5</v>
      </c>
      <c r="N126" s="15">
        <f>VLOOKUP($A$125,'集計'!$A$4:$EP$61,51,FALSE)</f>
        <v>1</v>
      </c>
      <c r="O126" s="16">
        <f>VLOOKUP($A$125,'集計'!$A$4:$EP$61,55,FALSE)</f>
        <v>1.7</v>
      </c>
      <c r="P126" s="15">
        <f>VLOOKUP($A$125,'集計'!$A$4:$EP$61,59,FALSE)</f>
        <v>0</v>
      </c>
      <c r="Q126" s="16">
        <f>VLOOKUP($A$125,'集計'!$A$4:$EP$61,63,FALSE)</f>
        <v>0</v>
      </c>
      <c r="R126" s="15">
        <f>VLOOKUP($A$125,'集計'!$A$4:$EP$61,67,FALSE)</f>
        <v>193</v>
      </c>
      <c r="S126" s="16">
        <f>VLOOKUP($A$125,'集計'!$A$4:$EP$61,71,FALSE)</f>
        <v>239.45</v>
      </c>
      <c r="T126" s="32" t="s">
        <v>22</v>
      </c>
      <c r="U126" s="15">
        <f>VLOOKUP($A$125,'集計'!$A$4:$EP$61,75,FALSE)</f>
        <v>148</v>
      </c>
      <c r="V126" s="16">
        <f>VLOOKUP($A$125,'集計'!$A$4:$EP$61,79,FALSE)</f>
        <v>30.62</v>
      </c>
      <c r="W126" s="15">
        <f>VLOOKUP($A$125,'集計'!$A$4:$EP$61,83,FALSE)</f>
        <v>18</v>
      </c>
      <c r="X126" s="16">
        <f>VLOOKUP($A$125,'集計'!$A$4:$EP$61,87,FALSE)</f>
        <v>28.7</v>
      </c>
      <c r="Y126" s="15">
        <f>VLOOKUP($A$125,'集計'!$A$4:$EP$61,91,FALSE)</f>
        <v>5</v>
      </c>
      <c r="Z126" s="16">
        <f>VLOOKUP($A$125,'集計'!$A$4:$EP$61,95,FALSE)</f>
        <v>20</v>
      </c>
      <c r="AA126" s="15">
        <f>VLOOKUP($A$125,'集計'!$A$4:$EP$61,99,FALSE)</f>
        <v>6</v>
      </c>
      <c r="AB126" s="16">
        <f>VLOOKUP($A$125,'集計'!$A$4:$EP$61,103,FALSE)</f>
        <v>63.4</v>
      </c>
      <c r="AC126" s="15">
        <f>VLOOKUP($A$125,'集計'!$A$4:$EP$61,107,FALSE)</f>
        <v>3</v>
      </c>
      <c r="AD126" s="16">
        <f>VLOOKUP($A$125,'集計'!$A$4:$EP$61,111,FALSE)</f>
        <v>47.1</v>
      </c>
      <c r="AE126" s="15">
        <f>VLOOKUP($A$125,'集計'!$A$4:$EP$61,115,FALSE)</f>
        <v>3</v>
      </c>
      <c r="AF126" s="16">
        <f>VLOOKUP($A$125,'集計'!$A$4:$EP$61,119,FALSE)</f>
        <v>24</v>
      </c>
      <c r="AG126" s="15">
        <f>VLOOKUP($A$125,'集計'!$A$4:$EP$61,123,FALSE)</f>
        <v>1</v>
      </c>
      <c r="AH126" s="16">
        <f>VLOOKUP($A$125,'集計'!$A$4:$EP$61,127,FALSE)</f>
        <v>1.6</v>
      </c>
      <c r="AI126" s="15">
        <f>VLOOKUP($A$125,'集計'!$A$4:$EP$61,131,FALSE)</f>
        <v>0</v>
      </c>
      <c r="AJ126" s="16">
        <f>VLOOKUP($A$125,'集計'!$A$4:$EP$61,135,FALSE)</f>
        <v>0</v>
      </c>
      <c r="AK126" s="15">
        <f>VLOOKUP($A$125,'集計'!$A$4:$EP$61,139,FALSE)</f>
        <v>184</v>
      </c>
      <c r="AL126" s="16">
        <f>VLOOKUP($A$125,'集計'!$A$4:$EP$61,143,FALSE)</f>
        <v>215.42</v>
      </c>
    </row>
    <row r="127" spans="1:38" ht="13.5">
      <c r="A127" s="32" t="s">
        <v>23</v>
      </c>
      <c r="B127" s="15">
        <f>VLOOKUP($A$125,'集計'!$A$4:$EP$61,4,FALSE)</f>
        <v>58</v>
      </c>
      <c r="C127" s="16">
        <f>VLOOKUP($A$125,'集計'!$A$4:$EP$61,8,FALSE)</f>
        <v>15.53</v>
      </c>
      <c r="D127" s="15">
        <f>VLOOKUP($A$125,'集計'!$A$4:$EP$61,(12),FALSE)</f>
        <v>13</v>
      </c>
      <c r="E127" s="16">
        <f>VLOOKUP($A$125,'集計'!$A$4:$EP$61,16,FALSE)</f>
        <v>29.1</v>
      </c>
      <c r="F127" s="15">
        <f>VLOOKUP($A$125,'集計'!$A$4:$EP$61,20,FALSE)</f>
        <v>6</v>
      </c>
      <c r="G127" s="16">
        <f>VLOOKUP($A$125,'集計'!$A$4:$EP$61,24,FALSE)</f>
        <v>30.5</v>
      </c>
      <c r="H127" s="15">
        <f>VLOOKUP($A$125,'集計'!$A$4:$EP$61,28,FALSE)</f>
        <v>5</v>
      </c>
      <c r="I127" s="16">
        <f>VLOOKUP($A$125,'集計'!$A$4:$EP$61,32,FALSE)</f>
        <v>157.3</v>
      </c>
      <c r="J127" s="15">
        <f>VLOOKUP($A$125,'集計'!$A$4:$EP$61,36,FALSE)</f>
        <v>1</v>
      </c>
      <c r="K127" s="16">
        <f>VLOOKUP($A$125,'集計'!$A$4:$EP$61,40,FALSE)</f>
        <v>64.5</v>
      </c>
      <c r="L127" s="15">
        <f>VLOOKUP($A$125,'集計'!$A$4:$EP$61,44,FALSE)</f>
        <v>0</v>
      </c>
      <c r="M127" s="16">
        <f>VLOOKUP($A$125,'集計'!$A$4:$EP$61,48,FALSE)</f>
        <v>0</v>
      </c>
      <c r="N127" s="15">
        <f>VLOOKUP($A$125,'集計'!$A$4:$EP$61,52,FALSE)</f>
        <v>1</v>
      </c>
      <c r="O127" s="16">
        <f>VLOOKUP($A$125,'集計'!$A$4:$EP$61,56,FALSE)</f>
        <v>0.6</v>
      </c>
      <c r="P127" s="15">
        <f>VLOOKUP($A$125,'集計'!$A$4:$EP$61,60,FALSE)</f>
        <v>0</v>
      </c>
      <c r="Q127" s="16">
        <f>VLOOKUP($A$125,'集計'!$A$4:$EP$61,64,FALSE)</f>
        <v>0</v>
      </c>
      <c r="R127" s="15">
        <f>VLOOKUP($A$125,'集計'!$A$4:$EP$61,68,FALSE)</f>
        <v>84</v>
      </c>
      <c r="S127" s="16">
        <f>VLOOKUP($A$125,'集計'!$A$4:$EP$61,72,FALSE)</f>
        <v>297.53</v>
      </c>
      <c r="T127" s="32" t="s">
        <v>23</v>
      </c>
      <c r="U127" s="15">
        <f>VLOOKUP($A$125,'集計'!$A$4:$EP$61,76,FALSE)</f>
        <v>54</v>
      </c>
      <c r="V127" s="16">
        <f>VLOOKUP($A$125,'集計'!$A$4:$EP$61,80,FALSE)</f>
        <v>14.56</v>
      </c>
      <c r="W127" s="15">
        <f>VLOOKUP($A$125,'集計'!$A$4:$EP$61,84,FALSE)</f>
        <v>8</v>
      </c>
      <c r="X127" s="16">
        <f>VLOOKUP($A$125,'集計'!$A$4:$EP$61,88,FALSE)</f>
        <v>18.8</v>
      </c>
      <c r="Y127" s="15">
        <f>VLOOKUP($A$125,'集計'!$A$4:$EP$61,92,FALSE)</f>
        <v>5</v>
      </c>
      <c r="Z127" s="16">
        <f>VLOOKUP($A$125,'集計'!$A$4:$EP$61,96,FALSE)</f>
        <v>23.7</v>
      </c>
      <c r="AA127" s="15">
        <f>VLOOKUP($A$125,'集計'!$A$4:$EP$61,100,FALSE)</f>
        <v>4</v>
      </c>
      <c r="AB127" s="16">
        <f>VLOOKUP($A$125,'集計'!$A$4:$EP$61,104,FALSE)</f>
        <v>46</v>
      </c>
      <c r="AC127" s="15">
        <f>VLOOKUP($A$125,'集計'!$A$4:$EP$61,108,FALSE)</f>
        <v>1</v>
      </c>
      <c r="AD127" s="16">
        <f>VLOOKUP($A$125,'集計'!$A$4:$EP$61,112,FALSE)</f>
        <v>28.4</v>
      </c>
      <c r="AE127" s="15">
        <f>VLOOKUP($A$125,'集計'!$A$4:$EP$61,116,FALSE)</f>
        <v>0</v>
      </c>
      <c r="AF127" s="16">
        <f>VLOOKUP($A$125,'集計'!$A$4:$EP$61,120,FALSE)</f>
        <v>0</v>
      </c>
      <c r="AG127" s="15">
        <f>VLOOKUP($A$125,'集計'!$A$4:$EP$61,124,FALSE)</f>
        <v>1</v>
      </c>
      <c r="AH127" s="16">
        <f>VLOOKUP($A$125,'集計'!$A$4:$EP$61,128,FALSE)</f>
        <v>0.1</v>
      </c>
      <c r="AI127" s="15">
        <f>VLOOKUP($A$125,'集計'!$A$4:$EP$61,132,FALSE)</f>
        <v>0</v>
      </c>
      <c r="AJ127" s="16">
        <f>VLOOKUP($A$125,'集計'!$A$4:$EP$61,136,FALSE)</f>
        <v>0</v>
      </c>
      <c r="AK127" s="15">
        <f>VLOOKUP($A$125,'集計'!$A$4:$EP$61,140,FALSE)</f>
        <v>73</v>
      </c>
      <c r="AL127" s="16">
        <f>VLOOKUP($A$125,'集計'!$A$4:$EP$61,144,FALSE)</f>
        <v>131.56</v>
      </c>
    </row>
    <row r="128" spans="1:38" ht="13.5">
      <c r="A128" s="32" t="s">
        <v>24</v>
      </c>
      <c r="B128" s="15">
        <f>VLOOKUP($A$125,'集計'!$A$4:$EP$61,5,FALSE)</f>
        <v>31</v>
      </c>
      <c r="C128" s="16">
        <f>VLOOKUP($A$125,'集計'!$A$4:$EP$61,9,FALSE)</f>
        <v>8.13</v>
      </c>
      <c r="D128" s="15">
        <f>VLOOKUP($A$125,'集計'!$A$4:$EP$61,13,FALSE)</f>
        <v>6</v>
      </c>
      <c r="E128" s="16">
        <f>VLOOKUP($A$125,'集計'!$A$4:$EP$61,17,FALSE)</f>
        <v>14.7</v>
      </c>
      <c r="F128" s="15">
        <f>VLOOKUP($A$125,'集計'!$A$4:$EP$61,21,FALSE)</f>
        <v>9</v>
      </c>
      <c r="G128" s="16">
        <f>VLOOKUP($A$125,'集計'!$A$4:$EP$61,25,FALSE)</f>
        <v>45.9</v>
      </c>
      <c r="H128" s="15">
        <f>VLOOKUP($A$125,'集計'!$A$4:$EP$61,29,FALSE)</f>
        <v>12</v>
      </c>
      <c r="I128" s="16">
        <f>VLOOKUP($A$125,'集計'!$A$4:$EP$61,33,FALSE)</f>
        <v>843.3</v>
      </c>
      <c r="J128" s="15">
        <f>VLOOKUP($A$125,'集計'!$A$4:$EP$61,37,FALSE)</f>
        <v>10</v>
      </c>
      <c r="K128" s="16">
        <f>VLOOKUP($A$125,'集計'!$A$4:$EP$61,41,FALSE)</f>
        <v>195.7</v>
      </c>
      <c r="L128" s="15">
        <f>VLOOKUP($A$125,'集計'!$A$4:$EP$61,45,FALSE)</f>
        <v>2</v>
      </c>
      <c r="M128" s="16">
        <f>VLOOKUP($A$125,'集計'!$A$4:$EP$61,49,FALSE)</f>
        <v>25.2</v>
      </c>
      <c r="N128" s="15">
        <f>VLOOKUP($A$125,'集計'!$A$4:$EP$61,53,FALSE)</f>
        <v>1</v>
      </c>
      <c r="O128" s="16">
        <f>VLOOKUP($A$125,'集計'!$A$4:$EP$61,57,FALSE)</f>
        <v>5.1</v>
      </c>
      <c r="P128" s="15">
        <f>VLOOKUP($A$125,'集計'!$A$4:$EP$61,61,FALSE)</f>
        <v>1</v>
      </c>
      <c r="Q128" s="16">
        <f>VLOOKUP($A$125,'集計'!$A$4:$EP$61,65,FALSE)</f>
        <v>118.1</v>
      </c>
      <c r="R128" s="15">
        <f>VLOOKUP($A$125,'集計'!$A$4:$EP$61,69,FALSE)</f>
        <v>72</v>
      </c>
      <c r="S128" s="16">
        <f>VLOOKUP($A$125,'集計'!$A$4:$EP$61,73,FALSE)</f>
        <v>1256.13</v>
      </c>
      <c r="T128" s="32" t="s">
        <v>24</v>
      </c>
      <c r="U128" s="15">
        <f>VLOOKUP($A$125,'集計'!$A$4:$EP$61,77,FALSE)</f>
        <v>30</v>
      </c>
      <c r="V128" s="16">
        <f>VLOOKUP($A$125,'集計'!$A$4:$EP$61,81,FALSE)</f>
        <v>8.2</v>
      </c>
      <c r="W128" s="15">
        <f>VLOOKUP($A$125,'集計'!$A$4:$EP$61,85,FALSE)</f>
        <v>5</v>
      </c>
      <c r="X128" s="16">
        <f>VLOOKUP($A$125,'集計'!$A$4:$EP$61,89,FALSE)</f>
        <v>11.2</v>
      </c>
      <c r="Y128" s="15">
        <f>VLOOKUP($A$125,'集計'!$A$4:$EP$61,93,FALSE)</f>
        <v>8</v>
      </c>
      <c r="Z128" s="16">
        <f>VLOOKUP($A$125,'集計'!$A$4:$EP$61,97,FALSE)</f>
        <v>42.8</v>
      </c>
      <c r="AA128" s="15">
        <f>VLOOKUP($A$125,'集計'!$A$4:$EP$61,101,FALSE)</f>
        <v>11</v>
      </c>
      <c r="AB128" s="16">
        <f>VLOOKUP($A$125,'集計'!$A$4:$EP$61,105,FALSE)</f>
        <v>281.91</v>
      </c>
      <c r="AC128" s="15">
        <f>VLOOKUP($A$125,'集計'!$A$4:$EP$61,109,FALSE)</f>
        <v>10</v>
      </c>
      <c r="AD128" s="16">
        <f>VLOOKUP($A$125,'集計'!$A$4:$EP$61,113,FALSE)</f>
        <v>203.5</v>
      </c>
      <c r="AE128" s="15">
        <f>VLOOKUP($A$125,'集計'!$A$4:$EP$61,117,FALSE)</f>
        <v>2</v>
      </c>
      <c r="AF128" s="16">
        <f>VLOOKUP($A$125,'集計'!$A$4:$EP$61,121,FALSE)</f>
        <v>25.2</v>
      </c>
      <c r="AG128" s="15">
        <f>VLOOKUP($A$125,'集計'!$A$4:$EP$61,125,FALSE)</f>
        <v>1</v>
      </c>
      <c r="AH128" s="16">
        <f>VLOOKUP($A$125,'集計'!$A$4:$EP$61,129,FALSE)</f>
        <v>5.1</v>
      </c>
      <c r="AI128" s="15">
        <f>VLOOKUP($A$125,'集計'!$A$4:$EP$61,133,FALSE)</f>
        <v>1</v>
      </c>
      <c r="AJ128" s="16">
        <f>VLOOKUP($A$125,'集計'!$A$4:$EP$61,137,FALSE)</f>
        <v>95.9</v>
      </c>
      <c r="AK128" s="15">
        <f>VLOOKUP($A$125,'集計'!$A$4:$EP$61,141,FALSE)</f>
        <v>68</v>
      </c>
      <c r="AL128" s="16">
        <f>VLOOKUP($A$125,'集計'!$A$4:$EP$61,145,FALSE)</f>
        <v>673.81</v>
      </c>
    </row>
    <row r="129" spans="1:38" ht="13.5">
      <c r="A129" s="32" t="s">
        <v>43</v>
      </c>
      <c r="B129" s="15">
        <f>VLOOKUP($A$129,'集計'!$A$4:$EP$61,6,FALSE)</f>
        <v>382</v>
      </c>
      <c r="C129" s="16">
        <f>VLOOKUP($A$129,'集計'!$A$4:$EP$61,10,FALSE)</f>
        <v>101.63</v>
      </c>
      <c r="D129" s="15">
        <f>VLOOKUP($A$129,'集計'!$A$4:$EP$61,14,FALSE)</f>
        <v>39</v>
      </c>
      <c r="E129" s="16">
        <f>VLOOKUP($A$129,'集計'!$A$4:$EP$61,18,FALSE)</f>
        <v>68.2</v>
      </c>
      <c r="F129" s="15">
        <f>VLOOKUP($A$129,'集計'!$A$4:$EP$61,22,FALSE)</f>
        <v>14</v>
      </c>
      <c r="G129" s="16">
        <f>VLOOKUP($A$129,'集計'!$A$4:$EP$61,26,FALSE)</f>
        <v>62.9</v>
      </c>
      <c r="H129" s="15">
        <f>VLOOKUP($A$129,'集計'!$A$4:$EP$61,30,FALSE)</f>
        <v>22</v>
      </c>
      <c r="I129" s="16">
        <f>VLOOKUP($A$129,'集計'!$A$4:$EP$61,34,FALSE)</f>
        <v>549.5</v>
      </c>
      <c r="J129" s="15">
        <f>VLOOKUP($A$129,'集計'!$A$4:$EP$61,38,FALSE)</f>
        <v>15</v>
      </c>
      <c r="K129" s="16">
        <f>VLOOKUP($A$129,'集計'!$A$4:$EP$61,42,FALSE)</f>
        <v>338.7</v>
      </c>
      <c r="L129" s="15">
        <f>VLOOKUP($A$129,'集計'!$A$4:$EP$61,46,FALSE)</f>
        <v>4</v>
      </c>
      <c r="M129" s="16">
        <f>VLOOKUP($A$129,'集計'!$A$4:$EP$61,50,FALSE)</f>
        <v>32.9</v>
      </c>
      <c r="N129" s="15">
        <f>VLOOKUP($A$129,'集計'!$A$4:$EP$61,54,FALSE)</f>
        <v>4</v>
      </c>
      <c r="O129" s="16">
        <f>VLOOKUP($A$129,'集計'!$A$4:$EP$61,58,FALSE)</f>
        <v>61</v>
      </c>
      <c r="P129" s="15">
        <f>VLOOKUP($A$129,'集計'!$A$4:$EP$61,62,FALSE)</f>
        <v>4</v>
      </c>
      <c r="Q129" s="16">
        <f>VLOOKUP($A$129,'集計'!$A$4:$EP$61,66,FALSE)</f>
        <v>433.2</v>
      </c>
      <c r="R129" s="15">
        <f>VLOOKUP($A$129,'集計'!$A$4:$EP$61,70,FALSE)</f>
        <v>484</v>
      </c>
      <c r="S129" s="16">
        <f>VLOOKUP($A$129,'集計'!$A$4:$EP$61,74,FALSE)</f>
        <v>1648.03</v>
      </c>
      <c r="T129" s="32" t="s">
        <v>43</v>
      </c>
      <c r="U129" s="15">
        <f>VLOOKUP($A$129,'集計'!$A$4:$EP$61,78,FALSE)</f>
        <v>374</v>
      </c>
      <c r="V129" s="16">
        <f>VLOOKUP($A$129,'集計'!$A$4:$EP$61,82,FALSE)</f>
        <v>97.68</v>
      </c>
      <c r="W129" s="15">
        <f>VLOOKUP($A$129,'集計'!$A$4:$EP$61,86,FALSE)</f>
        <v>34</v>
      </c>
      <c r="X129" s="16">
        <f>VLOOKUP($A$129,'集計'!$A$4:$EP$61,90,FALSE)</f>
        <v>55.4</v>
      </c>
      <c r="Y129" s="15">
        <f>VLOOKUP($A$129,'集計'!$A$4:$EP$61,94,FALSE)</f>
        <v>12</v>
      </c>
      <c r="Z129" s="16">
        <f>VLOOKUP($A$129,'集計'!$A$4:$EP$61,98,FALSE)</f>
        <v>56.2</v>
      </c>
      <c r="AA129" s="15">
        <f>VLOOKUP($A$129,'集計'!$A$4:$EP$61,102,FALSE)</f>
        <v>21</v>
      </c>
      <c r="AB129" s="16">
        <f>VLOOKUP($A$129,'集計'!$A$4:$EP$61,106,FALSE)</f>
        <v>400.3</v>
      </c>
      <c r="AC129" s="15">
        <f>VLOOKUP($A$129,'集計'!$A$4:$EP$61,110,FALSE)</f>
        <v>15</v>
      </c>
      <c r="AD129" s="16">
        <f>VLOOKUP($A$129,'集計'!$A$4:$EP$61,114,FALSE)</f>
        <v>251.2</v>
      </c>
      <c r="AE129" s="15">
        <f>VLOOKUP($A$129,'集計'!$A$4:$EP$61,118,FALSE)</f>
        <v>3</v>
      </c>
      <c r="AF129" s="16">
        <f>VLOOKUP($A$129,'集計'!$A$4:$EP$61,122,FALSE)</f>
        <v>21.4</v>
      </c>
      <c r="AG129" s="15">
        <f>VLOOKUP($A$129,'集計'!$A$4:$EP$61,126,FALSE)</f>
        <v>3</v>
      </c>
      <c r="AH129" s="16">
        <f>VLOOKUP($A$129,'集計'!$A$4:$EP$61,130,FALSE)</f>
        <v>49.5</v>
      </c>
      <c r="AI129" s="15">
        <f>VLOOKUP($A$129,'集計'!$A$4:$EP$61,134,FALSE)</f>
        <v>4</v>
      </c>
      <c r="AJ129" s="16">
        <f>VLOOKUP($A$129,'集計'!$A$4:$EP$61,138,FALSE)</f>
        <v>124.4</v>
      </c>
      <c r="AK129" s="15">
        <f>VLOOKUP($A$129,'集計'!$A$4:$EP$61,142,FALSE)</f>
        <v>466</v>
      </c>
      <c r="AL129" s="16">
        <f>VLOOKUP($A$129,'集計'!$A$4:$EP$61,146,FALSE)</f>
        <v>1056.08</v>
      </c>
    </row>
    <row r="130" spans="1:38" ht="13.5">
      <c r="A130" s="32" t="s">
        <v>22</v>
      </c>
      <c r="B130" s="15">
        <f>VLOOKUP($A$129,'集計'!$A$4:$EP$61,3,FALSE)</f>
        <v>272</v>
      </c>
      <c r="C130" s="16">
        <f>VLOOKUP($A$129,'集計'!$A$4:$EP$61,7,FALSE)</f>
        <v>72.18</v>
      </c>
      <c r="D130" s="15">
        <f>VLOOKUP($A$129,'集計'!$A$4:$EP$61,11,FALSE)</f>
        <v>13</v>
      </c>
      <c r="E130" s="16">
        <f>VLOOKUP($A$129,'集計'!$A$4:$EP$61,15,FALSE)</f>
        <v>20.7</v>
      </c>
      <c r="F130" s="15">
        <f>VLOOKUP($A$129,'集計'!$A$4:$EP$61,19,FALSE)</f>
        <v>4</v>
      </c>
      <c r="G130" s="16">
        <f>VLOOKUP($A$129,'集計'!$A$4:$EP$61,23,FALSE)</f>
        <v>19</v>
      </c>
      <c r="H130" s="15">
        <f>VLOOKUP($A$129,'集計'!$A$4:$EP$61,27,FALSE)</f>
        <v>2</v>
      </c>
      <c r="I130" s="16">
        <f>VLOOKUP($A$129,'集計'!$A$4:$EP$61,31,FALSE)</f>
        <v>36.8</v>
      </c>
      <c r="J130" s="15">
        <f>VLOOKUP($A$129,'集計'!$A$4:$EP$61,35,FALSE)</f>
        <v>3</v>
      </c>
      <c r="K130" s="16">
        <f>VLOOKUP($A$129,'集計'!$A$4:$EP$61,39,FALSE)</f>
        <v>42.8</v>
      </c>
      <c r="L130" s="15">
        <f>VLOOKUP($A$129,'集計'!$A$4:$EP$61,43,FALSE)</f>
        <v>1</v>
      </c>
      <c r="M130" s="16">
        <f>VLOOKUP($A$129,'集計'!$A$4:$EP$61,47,FALSE)</f>
        <v>7.9</v>
      </c>
      <c r="N130" s="15">
        <f>VLOOKUP($A$129,'集計'!$A$4:$EP$61,51,FALSE)</f>
        <v>1</v>
      </c>
      <c r="O130" s="16">
        <f>VLOOKUP($A$129,'集計'!$A$4:$EP$61,55,FALSE)</f>
        <v>11.1</v>
      </c>
      <c r="P130" s="15">
        <f>VLOOKUP($A$129,'集計'!$A$4:$EP$61,59,FALSE)</f>
        <v>0</v>
      </c>
      <c r="Q130" s="16">
        <f>VLOOKUP($A$129,'集計'!$A$4:$EP$61,63,FALSE)</f>
        <v>0</v>
      </c>
      <c r="R130" s="15">
        <f>VLOOKUP($A$129,'集計'!$A$4:$EP$61,67,FALSE)</f>
        <v>296</v>
      </c>
      <c r="S130" s="16">
        <f>VLOOKUP($A$129,'集計'!$A$4:$EP$61,71,FALSE)</f>
        <v>210.48</v>
      </c>
      <c r="T130" s="32" t="s">
        <v>22</v>
      </c>
      <c r="U130" s="15">
        <f>VLOOKUP($A$129,'集計'!$A$4:$EP$61,75,FALSE)</f>
        <v>272</v>
      </c>
      <c r="V130" s="16">
        <f>VLOOKUP($A$129,'集計'!$A$4:$EP$61,79,FALSE)</f>
        <v>71.58</v>
      </c>
      <c r="W130" s="15">
        <f>VLOOKUP($A$129,'集計'!$A$4:$EP$61,83,FALSE)</f>
        <v>13</v>
      </c>
      <c r="X130" s="16">
        <f>VLOOKUP($A$129,'集計'!$A$4:$EP$61,87,FALSE)</f>
        <v>20.3</v>
      </c>
      <c r="Y130" s="15">
        <f>VLOOKUP($A$129,'集計'!$A$4:$EP$61,91,FALSE)</f>
        <v>4</v>
      </c>
      <c r="Z130" s="16">
        <f>VLOOKUP($A$129,'集計'!$A$4:$EP$61,95,FALSE)</f>
        <v>18</v>
      </c>
      <c r="AA130" s="15">
        <f>VLOOKUP($A$129,'集計'!$A$4:$EP$61,99,FALSE)</f>
        <v>2</v>
      </c>
      <c r="AB130" s="16">
        <f>VLOOKUP($A$129,'集計'!$A$4:$EP$61,103,FALSE)</f>
        <v>30.7</v>
      </c>
      <c r="AC130" s="15">
        <f>VLOOKUP($A$129,'集計'!$A$4:$EP$61,107,FALSE)</f>
        <v>3</v>
      </c>
      <c r="AD130" s="16">
        <f>VLOOKUP($A$129,'集計'!$A$4:$EP$61,111,FALSE)</f>
        <v>41.2</v>
      </c>
      <c r="AE130" s="15">
        <f>VLOOKUP($A$129,'集計'!$A$4:$EP$61,115,FALSE)</f>
        <v>1</v>
      </c>
      <c r="AF130" s="16">
        <f>VLOOKUP($A$129,'集計'!$A$4:$EP$61,119,FALSE)</f>
        <v>7.9</v>
      </c>
      <c r="AG130" s="15">
        <f>VLOOKUP($A$129,'集計'!$A$4:$EP$61,123,FALSE)</f>
        <v>1</v>
      </c>
      <c r="AH130" s="16">
        <f>VLOOKUP($A$129,'集計'!$A$4:$EP$61,127,FALSE)</f>
        <v>11.4</v>
      </c>
      <c r="AI130" s="15">
        <f>VLOOKUP($A$129,'集計'!$A$4:$EP$61,131,FALSE)</f>
        <v>0</v>
      </c>
      <c r="AJ130" s="16">
        <f>VLOOKUP($A$129,'集計'!$A$4:$EP$61,135,FALSE)</f>
        <v>0</v>
      </c>
      <c r="AK130" s="15">
        <f>VLOOKUP($A$129,'集計'!$A$4:$EP$61,139,FALSE)</f>
        <v>296</v>
      </c>
      <c r="AL130" s="16">
        <f>VLOOKUP($A$129,'集計'!$A$4:$EP$61,143,FALSE)</f>
        <v>201.08</v>
      </c>
    </row>
    <row r="131" spans="1:38" ht="13.5">
      <c r="A131" s="32" t="s">
        <v>23</v>
      </c>
      <c r="B131" s="15">
        <f>VLOOKUP($A$129,'集計'!$A$4:$EP$61,4,FALSE)</f>
        <v>60</v>
      </c>
      <c r="C131" s="16">
        <f>VLOOKUP($A$129,'集計'!$A$4:$EP$61,8,FALSE)</f>
        <v>15.95</v>
      </c>
      <c r="D131" s="15">
        <f>VLOOKUP($A$129,'集計'!$A$4:$EP$61,(12),FALSE)</f>
        <v>16</v>
      </c>
      <c r="E131" s="16">
        <f>VLOOKUP($A$129,'集計'!$A$4:$EP$61,16,FALSE)</f>
        <v>26.4</v>
      </c>
      <c r="F131" s="15">
        <f>VLOOKUP($A$129,'集計'!$A$4:$EP$61,20,FALSE)</f>
        <v>4</v>
      </c>
      <c r="G131" s="16">
        <f>VLOOKUP($A$129,'集計'!$A$4:$EP$61,24,FALSE)</f>
        <v>16.3</v>
      </c>
      <c r="H131" s="15">
        <f>VLOOKUP($A$129,'集計'!$A$4:$EP$61,28,FALSE)</f>
        <v>3</v>
      </c>
      <c r="I131" s="16">
        <f>VLOOKUP($A$129,'集計'!$A$4:$EP$61,32,FALSE)</f>
        <v>21.6</v>
      </c>
      <c r="J131" s="15">
        <f>VLOOKUP($A$129,'集計'!$A$4:$EP$61,36,FALSE)</f>
        <v>1</v>
      </c>
      <c r="K131" s="16">
        <f>VLOOKUP($A$129,'集計'!$A$4:$EP$61,40,FALSE)</f>
        <v>17.1</v>
      </c>
      <c r="L131" s="15">
        <f>VLOOKUP($A$129,'集計'!$A$4:$EP$61,44,FALSE)</f>
        <v>0</v>
      </c>
      <c r="M131" s="16">
        <f>VLOOKUP($A$129,'集計'!$A$4:$EP$61,48,FALSE)</f>
        <v>0</v>
      </c>
      <c r="N131" s="15">
        <f>VLOOKUP($A$129,'集計'!$A$4:$EP$61,52,FALSE)</f>
        <v>1</v>
      </c>
      <c r="O131" s="16">
        <f>VLOOKUP($A$129,'集計'!$A$4:$EP$61,56,FALSE)</f>
        <v>11.3</v>
      </c>
      <c r="P131" s="15">
        <f>VLOOKUP($A$129,'集計'!$A$4:$EP$61,60,FALSE)</f>
        <v>1</v>
      </c>
      <c r="Q131" s="16">
        <f>VLOOKUP($A$129,'集計'!$A$4:$EP$61,64,FALSE)</f>
        <v>50.4</v>
      </c>
      <c r="R131" s="15">
        <f>VLOOKUP($A$129,'集計'!$A$4:$EP$61,68,FALSE)</f>
        <v>86</v>
      </c>
      <c r="S131" s="16">
        <f>VLOOKUP($A$129,'集計'!$A$4:$EP$61,72,FALSE)</f>
        <v>159.05</v>
      </c>
      <c r="T131" s="32" t="s">
        <v>23</v>
      </c>
      <c r="U131" s="15">
        <f>VLOOKUP($A$129,'集計'!$A$4:$EP$61,76,FALSE)</f>
        <v>60</v>
      </c>
      <c r="V131" s="16">
        <f>VLOOKUP($A$129,'集計'!$A$4:$EP$61,80,FALSE)</f>
        <v>16.04</v>
      </c>
      <c r="W131" s="15">
        <f>VLOOKUP($A$129,'集計'!$A$4:$EP$61,84,FALSE)</f>
        <v>14</v>
      </c>
      <c r="X131" s="16">
        <f>VLOOKUP($A$129,'集計'!$A$4:$EP$61,88,FALSE)</f>
        <v>23.1</v>
      </c>
      <c r="Y131" s="15">
        <f>VLOOKUP($A$129,'集計'!$A$4:$EP$61,92,FALSE)</f>
        <v>4</v>
      </c>
      <c r="Z131" s="16">
        <f>VLOOKUP($A$129,'集計'!$A$4:$EP$61,96,FALSE)</f>
        <v>13.5</v>
      </c>
      <c r="AA131" s="15">
        <f>VLOOKUP($A$129,'集計'!$A$4:$EP$61,100,FALSE)</f>
        <v>3</v>
      </c>
      <c r="AB131" s="16">
        <f>VLOOKUP($A$129,'集計'!$A$4:$EP$61,104,FALSE)</f>
        <v>21.6</v>
      </c>
      <c r="AC131" s="15">
        <f>VLOOKUP($A$129,'集計'!$A$4:$EP$61,108,FALSE)</f>
        <v>1</v>
      </c>
      <c r="AD131" s="16">
        <f>VLOOKUP($A$129,'集計'!$A$4:$EP$61,112,FALSE)</f>
        <v>17.1</v>
      </c>
      <c r="AE131" s="15">
        <f>VLOOKUP($A$129,'集計'!$A$4:$EP$61,116,FALSE)</f>
        <v>0</v>
      </c>
      <c r="AF131" s="16">
        <f>VLOOKUP($A$129,'集計'!$A$4:$EP$61,120,FALSE)</f>
        <v>0</v>
      </c>
      <c r="AG131" s="15">
        <f>VLOOKUP($A$129,'集計'!$A$4:$EP$61,124,FALSE)</f>
        <v>0</v>
      </c>
      <c r="AH131" s="16">
        <f>VLOOKUP($A$129,'集計'!$A$4:$EP$61,128,FALSE)</f>
        <v>0</v>
      </c>
      <c r="AI131" s="15">
        <f>VLOOKUP($A$129,'集計'!$A$4:$EP$61,132,FALSE)</f>
        <v>1</v>
      </c>
      <c r="AJ131" s="16">
        <f>VLOOKUP($A$129,'集計'!$A$4:$EP$61,136,FALSE)</f>
        <v>47.1</v>
      </c>
      <c r="AK131" s="15">
        <f>VLOOKUP($A$129,'集計'!$A$4:$EP$61,140,FALSE)</f>
        <v>83</v>
      </c>
      <c r="AL131" s="16">
        <f>VLOOKUP($A$129,'集計'!$A$4:$EP$61,144,FALSE)</f>
        <v>138.44</v>
      </c>
    </row>
    <row r="132" spans="1:38" ht="13.5">
      <c r="A132" s="32" t="s">
        <v>24</v>
      </c>
      <c r="B132" s="15">
        <f>VLOOKUP($A$129,'集計'!$A$4:$EP$61,5,FALSE)</f>
        <v>50</v>
      </c>
      <c r="C132" s="16">
        <f>VLOOKUP($A$129,'集計'!$A$4:$EP$61,9,FALSE)</f>
        <v>13.5</v>
      </c>
      <c r="D132" s="15">
        <f>VLOOKUP($A$129,'集計'!$A$4:$EP$61,13,FALSE)</f>
        <v>10</v>
      </c>
      <c r="E132" s="16">
        <f>VLOOKUP($A$129,'集計'!$A$4:$EP$61,17,FALSE)</f>
        <v>21.1</v>
      </c>
      <c r="F132" s="15">
        <f>VLOOKUP($A$129,'集計'!$A$4:$EP$61,21,FALSE)</f>
        <v>6</v>
      </c>
      <c r="G132" s="16">
        <f>VLOOKUP($A$129,'集計'!$A$4:$EP$61,25,FALSE)</f>
        <v>27.6</v>
      </c>
      <c r="H132" s="15">
        <f>VLOOKUP($A$129,'集計'!$A$4:$EP$61,29,FALSE)</f>
        <v>17</v>
      </c>
      <c r="I132" s="16">
        <f>VLOOKUP($A$129,'集計'!$A$4:$EP$61,33,FALSE)</f>
        <v>491.1</v>
      </c>
      <c r="J132" s="15">
        <f>VLOOKUP($A$129,'集計'!$A$4:$EP$61,37,FALSE)</f>
        <v>11</v>
      </c>
      <c r="K132" s="16">
        <f>VLOOKUP($A$129,'集計'!$A$4:$EP$61,41,FALSE)</f>
        <v>278.8</v>
      </c>
      <c r="L132" s="15">
        <f>VLOOKUP($A$129,'集計'!$A$4:$EP$61,45,FALSE)</f>
        <v>3</v>
      </c>
      <c r="M132" s="16">
        <f>VLOOKUP($A$129,'集計'!$A$4:$EP$61,49,FALSE)</f>
        <v>25</v>
      </c>
      <c r="N132" s="15">
        <f>VLOOKUP($A$129,'集計'!$A$4:$EP$61,53,FALSE)</f>
        <v>2</v>
      </c>
      <c r="O132" s="16">
        <f>VLOOKUP($A$129,'集計'!$A$4:$EP$61,57,FALSE)</f>
        <v>38.6</v>
      </c>
      <c r="P132" s="15">
        <f>VLOOKUP($A$129,'集計'!$A$4:$EP$61,61,FALSE)</f>
        <v>3</v>
      </c>
      <c r="Q132" s="16">
        <f>VLOOKUP($A$129,'集計'!$A$4:$EP$61,65,FALSE)</f>
        <v>382.8</v>
      </c>
      <c r="R132" s="15">
        <f>VLOOKUP($A$129,'集計'!$A$4:$EP$61,69,FALSE)</f>
        <v>102</v>
      </c>
      <c r="S132" s="16">
        <f>VLOOKUP($A$129,'集計'!$A$4:$EP$61,73,FALSE)</f>
        <v>1278.5</v>
      </c>
      <c r="T132" s="32" t="s">
        <v>24</v>
      </c>
      <c r="U132" s="15">
        <f>VLOOKUP($A$129,'集計'!$A$4:$EP$61,77,FALSE)</f>
        <v>42</v>
      </c>
      <c r="V132" s="16">
        <f>VLOOKUP($A$129,'集計'!$A$4:$EP$61,81,FALSE)</f>
        <v>10.06</v>
      </c>
      <c r="W132" s="15">
        <f>VLOOKUP($A$129,'集計'!$A$4:$EP$61,85,FALSE)</f>
        <v>7</v>
      </c>
      <c r="X132" s="16">
        <f>VLOOKUP($A$129,'集計'!$A$4:$EP$61,89,FALSE)</f>
        <v>12</v>
      </c>
      <c r="Y132" s="15">
        <f>VLOOKUP($A$129,'集計'!$A$4:$EP$61,93,FALSE)</f>
        <v>4</v>
      </c>
      <c r="Z132" s="16">
        <f>VLOOKUP($A$129,'集計'!$A$4:$EP$61,97,FALSE)</f>
        <v>24.7</v>
      </c>
      <c r="AA132" s="15">
        <f>VLOOKUP($A$129,'集計'!$A$4:$EP$61,101,FALSE)</f>
        <v>16</v>
      </c>
      <c r="AB132" s="16">
        <f>VLOOKUP($A$129,'集計'!$A$4:$EP$61,105,FALSE)</f>
        <v>348</v>
      </c>
      <c r="AC132" s="15">
        <f>VLOOKUP($A$129,'集計'!$A$4:$EP$61,109,FALSE)</f>
        <v>11</v>
      </c>
      <c r="AD132" s="16">
        <f>VLOOKUP($A$129,'集計'!$A$4:$EP$61,113,FALSE)</f>
        <v>192.9</v>
      </c>
      <c r="AE132" s="15">
        <f>VLOOKUP($A$129,'集計'!$A$4:$EP$61,117,FALSE)</f>
        <v>2</v>
      </c>
      <c r="AF132" s="16">
        <f>VLOOKUP($A$129,'集計'!$A$4:$EP$61,121,FALSE)</f>
        <v>13.5</v>
      </c>
      <c r="AG132" s="15">
        <f>VLOOKUP($A$129,'集計'!$A$4:$EP$61,125,FALSE)</f>
        <v>2</v>
      </c>
      <c r="AH132" s="16">
        <f>VLOOKUP($A$129,'集計'!$A$4:$EP$61,129,FALSE)</f>
        <v>38.1</v>
      </c>
      <c r="AI132" s="15">
        <f>VLOOKUP($A$129,'集計'!$A$4:$EP$61,133,FALSE)</f>
        <v>3</v>
      </c>
      <c r="AJ132" s="16">
        <f>VLOOKUP($A$129,'集計'!$A$4:$EP$61,137,FALSE)</f>
        <v>77.3</v>
      </c>
      <c r="AK132" s="15">
        <f>VLOOKUP($A$129,'集計'!$A$4:$EP$61,141,FALSE)</f>
        <v>87</v>
      </c>
      <c r="AL132" s="16">
        <f>VLOOKUP($A$129,'集計'!$A$4:$EP$61,145,FALSE)</f>
        <v>716.56</v>
      </c>
    </row>
    <row r="133" spans="1:38" ht="13.5">
      <c r="A133" s="32"/>
      <c r="B133" s="19"/>
      <c r="C133" s="20"/>
      <c r="D133" s="19"/>
      <c r="E133" s="20"/>
      <c r="F133" s="19"/>
      <c r="G133" s="20"/>
      <c r="H133" s="19"/>
      <c r="I133" s="20"/>
      <c r="J133" s="19"/>
      <c r="K133" s="20"/>
      <c r="L133" s="19"/>
      <c r="M133" s="20"/>
      <c r="N133" s="19"/>
      <c r="O133" s="20"/>
      <c r="P133" s="19"/>
      <c r="Q133" s="20"/>
      <c r="R133" s="19"/>
      <c r="S133" s="20"/>
      <c r="T133" s="32"/>
      <c r="U133" s="19"/>
      <c r="V133" s="20"/>
      <c r="W133" s="19"/>
      <c r="X133" s="20"/>
      <c r="Y133" s="19"/>
      <c r="Z133" s="20"/>
      <c r="AA133" s="19"/>
      <c r="AB133" s="20"/>
      <c r="AC133" s="19"/>
      <c r="AD133" s="20"/>
      <c r="AE133" s="19"/>
      <c r="AF133" s="20"/>
      <c r="AG133" s="19"/>
      <c r="AH133" s="20"/>
      <c r="AI133" s="19"/>
      <c r="AJ133" s="20"/>
      <c r="AK133" s="19"/>
      <c r="AL133" s="20"/>
    </row>
    <row r="134" spans="1:38" ht="13.5">
      <c r="A134" s="32" t="s">
        <v>44</v>
      </c>
      <c r="B134" s="15">
        <f>VLOOKUP($A$134,'集計'!$A$4:$EP$61,6,FALSE)</f>
        <v>515</v>
      </c>
      <c r="C134" s="16">
        <f>VLOOKUP($A$134,'集計'!$A$4:$EP$61,10,FALSE)</f>
        <v>116.92</v>
      </c>
      <c r="D134" s="15">
        <f>VLOOKUP($A$134,'集計'!$A$4:$EP$61,14,FALSE)</f>
        <v>55</v>
      </c>
      <c r="E134" s="16">
        <f>VLOOKUP($A$134,'集計'!$A$4:$EP$61,18,FALSE)</f>
        <v>91.6</v>
      </c>
      <c r="F134" s="15">
        <f>VLOOKUP($A$134,'集計'!$A$4:$EP$61,22,FALSE)</f>
        <v>28</v>
      </c>
      <c r="G134" s="16">
        <f>VLOOKUP($A$134,'集計'!$A$4:$EP$61,26,FALSE)</f>
        <v>163.4</v>
      </c>
      <c r="H134" s="15">
        <f>VLOOKUP($A$134,'集計'!$A$4:$EP$61,30,FALSE)</f>
        <v>13</v>
      </c>
      <c r="I134" s="16">
        <f>VLOOKUP($A$134,'集計'!$A$4:$EP$61,34,FALSE)</f>
        <v>333</v>
      </c>
      <c r="J134" s="15">
        <f>VLOOKUP($A$134,'集計'!$A$4:$EP$61,38,FALSE)</f>
        <v>14</v>
      </c>
      <c r="K134" s="16">
        <f>VLOOKUP($A$134,'集計'!$A$4:$EP$61,42,FALSE)</f>
        <v>218.9</v>
      </c>
      <c r="L134" s="15">
        <f>VLOOKUP($A$134,'集計'!$A$4:$EP$61,46,FALSE)</f>
        <v>5</v>
      </c>
      <c r="M134" s="16">
        <f>VLOOKUP($A$134,'集計'!$A$4:$EP$61,50,FALSE)</f>
        <v>59.6</v>
      </c>
      <c r="N134" s="15">
        <f>VLOOKUP($A$134,'集計'!$A$4:$EP$61,54,FALSE)</f>
        <v>3</v>
      </c>
      <c r="O134" s="16">
        <f>VLOOKUP($A$134,'集計'!$A$4:$EP$61,58,FALSE)</f>
        <v>9.3</v>
      </c>
      <c r="P134" s="15">
        <f>VLOOKUP($A$134,'集計'!$A$4:$EP$61,62,FALSE)</f>
        <v>4</v>
      </c>
      <c r="Q134" s="16">
        <f>VLOOKUP($A$134,'集計'!$A$4:$EP$61,66,FALSE)</f>
        <v>418.8</v>
      </c>
      <c r="R134" s="15">
        <f>VLOOKUP($A$134,'集計'!$A$4:$EP$61,70,FALSE)</f>
        <v>637</v>
      </c>
      <c r="S134" s="16">
        <f>VLOOKUP($A$134,'集計'!$A$4:$EP$61,74,FALSE)</f>
        <v>1411.52</v>
      </c>
      <c r="T134" s="32" t="s">
        <v>44</v>
      </c>
      <c r="U134" s="15">
        <f>VLOOKUP($A$134,'集計'!$A$4:$EP$61,78,FALSE)</f>
        <v>513</v>
      </c>
      <c r="V134" s="16">
        <f>VLOOKUP($A$134,'集計'!$A$4:$EP$61,82,FALSE)</f>
        <v>115.37</v>
      </c>
      <c r="W134" s="15">
        <f>VLOOKUP($A$134,'集計'!$A$4:$EP$61,86,FALSE)</f>
        <v>53</v>
      </c>
      <c r="X134" s="16">
        <f>VLOOKUP($A$134,'集計'!$A$4:$EP$61,90,FALSE)</f>
        <v>86.3</v>
      </c>
      <c r="Y134" s="15">
        <f>VLOOKUP($A$134,'集計'!$A$4:$EP$61,94,FALSE)</f>
        <v>28</v>
      </c>
      <c r="Z134" s="16">
        <f>VLOOKUP($A$134,'集計'!$A$4:$EP$61,98,FALSE)</f>
        <v>133.5</v>
      </c>
      <c r="AA134" s="15">
        <f>VLOOKUP($A$134,'集計'!$A$4:$EP$61,102,FALSE)</f>
        <v>13</v>
      </c>
      <c r="AB134" s="16">
        <f>VLOOKUP($A$134,'集計'!$A$4:$EP$61,106,FALSE)</f>
        <v>280.9</v>
      </c>
      <c r="AC134" s="15">
        <f>VLOOKUP($A$134,'集計'!$A$4:$EP$61,110,FALSE)</f>
        <v>13</v>
      </c>
      <c r="AD134" s="16">
        <f>VLOOKUP($A$134,'集計'!$A$4:$EP$61,114,FALSE)</f>
        <v>178.4</v>
      </c>
      <c r="AE134" s="15">
        <f>VLOOKUP($A$134,'集計'!$A$4:$EP$61,118,FALSE)</f>
        <v>4</v>
      </c>
      <c r="AF134" s="16">
        <f>VLOOKUP($A$134,'集計'!$A$4:$EP$61,122,FALSE)</f>
        <v>28.2</v>
      </c>
      <c r="AG134" s="15">
        <f>VLOOKUP($A$134,'集計'!$A$4:$EP$61,126,FALSE)</f>
        <v>2</v>
      </c>
      <c r="AH134" s="16">
        <f>VLOOKUP($A$134,'集計'!$A$4:$EP$61,130,FALSE)</f>
        <v>3.4</v>
      </c>
      <c r="AI134" s="15">
        <f>VLOOKUP($A$134,'集計'!$A$4:$EP$61,134,FALSE)</f>
        <v>4</v>
      </c>
      <c r="AJ134" s="16">
        <f>VLOOKUP($A$134,'集計'!$A$4:$EP$61,138,FALSE)</f>
        <v>343.1</v>
      </c>
      <c r="AK134" s="15">
        <f>VLOOKUP($A$134,'集計'!$A$4:$EP$61,142,FALSE)</f>
        <v>630</v>
      </c>
      <c r="AL134" s="16">
        <f>VLOOKUP($A$134,'集計'!$A$4:$EP$61,146,FALSE)</f>
        <v>1169.17</v>
      </c>
    </row>
    <row r="135" spans="1:38" ht="13.5">
      <c r="A135" s="32" t="s">
        <v>22</v>
      </c>
      <c r="B135" s="15">
        <f>VLOOKUP($A$134,'集計'!$A$4:$EP$61,3,FALSE)</f>
        <v>302</v>
      </c>
      <c r="C135" s="16">
        <f>VLOOKUP($A$134,'集計'!$A$4:$EP$61,7,FALSE)</f>
        <v>66.2</v>
      </c>
      <c r="D135" s="15">
        <f>VLOOKUP($A$134,'集計'!$A$4:$EP$61,11,FALSE)</f>
        <v>23</v>
      </c>
      <c r="E135" s="16">
        <f>VLOOKUP($A$134,'集計'!$A$4:$EP$61,15,FALSE)</f>
        <v>37.3</v>
      </c>
      <c r="F135" s="15">
        <f>VLOOKUP($A$134,'集計'!$A$4:$EP$61,19,FALSE)</f>
        <v>11</v>
      </c>
      <c r="G135" s="16">
        <f>VLOOKUP($A$134,'集計'!$A$4:$EP$61,23,FALSE)</f>
        <v>71.6</v>
      </c>
      <c r="H135" s="15">
        <f>VLOOKUP($A$134,'集計'!$A$4:$EP$61,27,FALSE)</f>
        <v>1</v>
      </c>
      <c r="I135" s="16">
        <f>VLOOKUP($A$134,'集計'!$A$4:$EP$61,31,FALSE)</f>
        <v>16.7</v>
      </c>
      <c r="J135" s="15">
        <f>VLOOKUP($A$134,'集計'!$A$4:$EP$61,35,FALSE)</f>
        <v>2</v>
      </c>
      <c r="K135" s="16">
        <f>VLOOKUP($A$134,'集計'!$A$4:$EP$61,39,FALSE)</f>
        <v>26.5</v>
      </c>
      <c r="L135" s="15">
        <f>VLOOKUP($A$134,'集計'!$A$4:$EP$61,43,FALSE)</f>
        <v>1</v>
      </c>
      <c r="M135" s="16">
        <f>VLOOKUP($A$134,'集計'!$A$4:$EP$61,47,FALSE)</f>
        <v>0.2</v>
      </c>
      <c r="N135" s="15">
        <f>VLOOKUP($A$134,'集計'!$A$4:$EP$61,51,FALSE)</f>
        <v>0</v>
      </c>
      <c r="O135" s="16">
        <f>VLOOKUP($A$134,'集計'!$A$4:$EP$61,55,FALSE)</f>
        <v>0</v>
      </c>
      <c r="P135" s="15">
        <f>VLOOKUP($A$134,'集計'!$A$4:$EP$61,59,FALSE)</f>
        <v>0</v>
      </c>
      <c r="Q135" s="16">
        <f>VLOOKUP($A$134,'集計'!$A$4:$EP$61,63,FALSE)</f>
        <v>0</v>
      </c>
      <c r="R135" s="15">
        <f>VLOOKUP($A$134,'集計'!$A$4:$EP$61,67,FALSE)</f>
        <v>340</v>
      </c>
      <c r="S135" s="16">
        <f>VLOOKUP($A$134,'集計'!$A$4:$EP$61,71,FALSE)</f>
        <v>218.5</v>
      </c>
      <c r="T135" s="32" t="s">
        <v>22</v>
      </c>
      <c r="U135" s="15">
        <f>VLOOKUP($A$134,'集計'!$A$4:$EP$61,75,FALSE)</f>
        <v>300</v>
      </c>
      <c r="V135" s="16">
        <f>VLOOKUP($A$134,'集計'!$A$4:$EP$61,79,FALSE)</f>
        <v>64.77</v>
      </c>
      <c r="W135" s="15">
        <f>VLOOKUP($A$134,'集計'!$A$4:$EP$61,83,FALSE)</f>
        <v>24</v>
      </c>
      <c r="X135" s="16">
        <f>VLOOKUP($A$134,'集計'!$A$4:$EP$61,87,FALSE)</f>
        <v>39.6</v>
      </c>
      <c r="Y135" s="15">
        <f>VLOOKUP($A$134,'集計'!$A$4:$EP$61,91,FALSE)</f>
        <v>11</v>
      </c>
      <c r="Z135" s="16">
        <f>VLOOKUP($A$134,'集計'!$A$4:$EP$61,95,FALSE)</f>
        <v>43.7</v>
      </c>
      <c r="AA135" s="15">
        <f>VLOOKUP($A$134,'集計'!$A$4:$EP$61,99,FALSE)</f>
        <v>1</v>
      </c>
      <c r="AB135" s="16">
        <f>VLOOKUP($A$134,'集計'!$A$4:$EP$61,103,FALSE)</f>
        <v>10.7</v>
      </c>
      <c r="AC135" s="15">
        <f>VLOOKUP($A$134,'集計'!$A$4:$EP$61,107,FALSE)</f>
        <v>2</v>
      </c>
      <c r="AD135" s="16">
        <f>VLOOKUP($A$134,'集計'!$A$4:$EP$61,111,FALSE)</f>
        <v>24.4</v>
      </c>
      <c r="AE135" s="15">
        <f>VLOOKUP($A$134,'集計'!$A$4:$EP$61,115,FALSE)</f>
        <v>1</v>
      </c>
      <c r="AF135" s="16">
        <f>VLOOKUP($A$134,'集計'!$A$4:$EP$61,119,FALSE)</f>
        <v>0.2</v>
      </c>
      <c r="AG135" s="15">
        <f>VLOOKUP($A$134,'集計'!$A$4:$EP$61,123,FALSE)</f>
        <v>0</v>
      </c>
      <c r="AH135" s="16">
        <f>VLOOKUP($A$134,'集計'!$A$4:$EP$61,127,FALSE)</f>
        <v>0</v>
      </c>
      <c r="AI135" s="15">
        <f>VLOOKUP($A$134,'集計'!$A$4:$EP$61,131,FALSE)</f>
        <v>0</v>
      </c>
      <c r="AJ135" s="16">
        <f>VLOOKUP($A$134,'集計'!$A$4:$EP$61,135,FALSE)</f>
        <v>0</v>
      </c>
      <c r="AK135" s="15">
        <f>VLOOKUP($A$134,'集計'!$A$4:$EP$61,139,FALSE)</f>
        <v>339</v>
      </c>
      <c r="AL135" s="16">
        <f>VLOOKUP($A$134,'集計'!$A$4:$EP$61,143,FALSE)</f>
        <v>183.37</v>
      </c>
    </row>
    <row r="136" spans="1:38" ht="13.5">
      <c r="A136" s="32" t="s">
        <v>23</v>
      </c>
      <c r="B136" s="15">
        <f>VLOOKUP($A$134,'集計'!$A$4:$EP$61,4,FALSE)</f>
        <v>183</v>
      </c>
      <c r="C136" s="16">
        <f>VLOOKUP($A$134,'集計'!$A$4:$EP$61,8,FALSE)</f>
        <v>45.17</v>
      </c>
      <c r="D136" s="15">
        <f>VLOOKUP($A$134,'集計'!$A$4:$EP$61,(12),FALSE)</f>
        <v>28</v>
      </c>
      <c r="E136" s="16">
        <f>VLOOKUP($A$134,'集計'!$A$4:$EP$61,16,FALSE)</f>
        <v>48.2</v>
      </c>
      <c r="F136" s="15">
        <f>VLOOKUP($A$134,'集計'!$A$4:$EP$61,20,FALSE)</f>
        <v>7</v>
      </c>
      <c r="G136" s="16">
        <f>VLOOKUP($A$134,'集計'!$A$4:$EP$61,24,FALSE)</f>
        <v>34.7</v>
      </c>
      <c r="H136" s="15">
        <f>VLOOKUP($A$134,'集計'!$A$4:$EP$61,28,FALSE)</f>
        <v>3</v>
      </c>
      <c r="I136" s="16">
        <f>VLOOKUP($A$134,'集計'!$A$4:$EP$61,32,FALSE)</f>
        <v>44.7</v>
      </c>
      <c r="J136" s="15">
        <f>VLOOKUP($A$134,'集計'!$A$4:$EP$61,36,FALSE)</f>
        <v>0</v>
      </c>
      <c r="K136" s="16">
        <f>VLOOKUP($A$134,'集計'!$A$4:$EP$61,40,FALSE)</f>
        <v>1.9</v>
      </c>
      <c r="L136" s="15">
        <f>VLOOKUP($A$134,'集計'!$A$4:$EP$61,44,FALSE)</f>
        <v>0</v>
      </c>
      <c r="M136" s="16">
        <f>VLOOKUP($A$134,'集計'!$A$4:$EP$61,48,FALSE)</f>
        <v>0.7</v>
      </c>
      <c r="N136" s="15">
        <f>VLOOKUP($A$134,'集計'!$A$4:$EP$61,52,FALSE)</f>
        <v>0</v>
      </c>
      <c r="O136" s="16">
        <f>VLOOKUP($A$134,'集計'!$A$4:$EP$61,56,FALSE)</f>
        <v>0</v>
      </c>
      <c r="P136" s="15">
        <f>VLOOKUP($A$134,'集計'!$A$4:$EP$61,60,FALSE)</f>
        <v>0</v>
      </c>
      <c r="Q136" s="16">
        <f>VLOOKUP($A$134,'集計'!$A$4:$EP$61,64,FALSE)</f>
        <v>0</v>
      </c>
      <c r="R136" s="15">
        <f>VLOOKUP($A$134,'集計'!$A$4:$EP$61,68,FALSE)</f>
        <v>221</v>
      </c>
      <c r="S136" s="16">
        <f>VLOOKUP($A$134,'集計'!$A$4:$EP$61,72,FALSE)</f>
        <v>175.37</v>
      </c>
      <c r="T136" s="32" t="s">
        <v>23</v>
      </c>
      <c r="U136" s="15">
        <f>VLOOKUP($A$134,'集計'!$A$4:$EP$61,76,FALSE)</f>
        <v>183</v>
      </c>
      <c r="V136" s="16">
        <f>VLOOKUP($A$134,'集計'!$A$4:$EP$61,80,FALSE)</f>
        <v>45.04</v>
      </c>
      <c r="W136" s="15">
        <f>VLOOKUP($A$134,'集計'!$A$4:$EP$61,84,FALSE)</f>
        <v>25</v>
      </c>
      <c r="X136" s="16">
        <f>VLOOKUP($A$134,'集計'!$A$4:$EP$61,88,FALSE)</f>
        <v>40.6</v>
      </c>
      <c r="Y136" s="15">
        <f>VLOOKUP($A$134,'集計'!$A$4:$EP$61,92,FALSE)</f>
        <v>7</v>
      </c>
      <c r="Z136" s="16">
        <f>VLOOKUP($A$134,'集計'!$A$4:$EP$61,96,FALSE)</f>
        <v>37.2</v>
      </c>
      <c r="AA136" s="15">
        <f>VLOOKUP($A$134,'集計'!$A$4:$EP$61,100,FALSE)</f>
        <v>3</v>
      </c>
      <c r="AB136" s="16">
        <f>VLOOKUP($A$134,'集計'!$A$4:$EP$61,104,FALSE)</f>
        <v>34.8</v>
      </c>
      <c r="AC136" s="15">
        <f>VLOOKUP($A$134,'集計'!$A$4:$EP$61,108,FALSE)</f>
        <v>0</v>
      </c>
      <c r="AD136" s="16">
        <f>VLOOKUP($A$134,'集計'!$A$4:$EP$61,112,FALSE)</f>
        <v>1.9</v>
      </c>
      <c r="AE136" s="15">
        <f>VLOOKUP($A$134,'集計'!$A$4:$EP$61,116,FALSE)</f>
        <v>0</v>
      </c>
      <c r="AF136" s="16">
        <f>VLOOKUP($A$134,'集計'!$A$4:$EP$61,120,FALSE)</f>
        <v>0</v>
      </c>
      <c r="AG136" s="15">
        <f>VLOOKUP($A$134,'集計'!$A$4:$EP$61,124,FALSE)</f>
        <v>0</v>
      </c>
      <c r="AH136" s="16">
        <f>VLOOKUP($A$134,'集計'!$A$4:$EP$61,128,FALSE)</f>
        <v>0</v>
      </c>
      <c r="AI136" s="15">
        <f>VLOOKUP($A$134,'集計'!$A$4:$EP$61,132,FALSE)</f>
        <v>0</v>
      </c>
      <c r="AJ136" s="16">
        <f>VLOOKUP($A$134,'集計'!$A$4:$EP$61,136,FALSE)</f>
        <v>0</v>
      </c>
      <c r="AK136" s="15">
        <f>VLOOKUP($A$134,'集計'!$A$4:$EP$61,140,FALSE)</f>
        <v>218</v>
      </c>
      <c r="AL136" s="16">
        <f>VLOOKUP($A$134,'集計'!$A$4:$EP$61,144,FALSE)</f>
        <v>159.54</v>
      </c>
    </row>
    <row r="137" spans="1:38" ht="13.5">
      <c r="A137" s="32" t="s">
        <v>24</v>
      </c>
      <c r="B137" s="15">
        <f>VLOOKUP($A$134,'集計'!$A$4:$EP$61,5,FALSE)</f>
        <v>30</v>
      </c>
      <c r="C137" s="16">
        <f>VLOOKUP($A$134,'集計'!$A$4:$EP$61,9,FALSE)</f>
        <v>5.55</v>
      </c>
      <c r="D137" s="15">
        <f>VLOOKUP($A$134,'集計'!$A$4:$EP$61,13,FALSE)</f>
        <v>4</v>
      </c>
      <c r="E137" s="16">
        <f>VLOOKUP($A$134,'集計'!$A$4:$EP$61,17,FALSE)</f>
        <v>6.1</v>
      </c>
      <c r="F137" s="15">
        <f>VLOOKUP($A$134,'集計'!$A$4:$EP$61,21,FALSE)</f>
        <v>10</v>
      </c>
      <c r="G137" s="16">
        <f>VLOOKUP($A$134,'集計'!$A$4:$EP$61,25,FALSE)</f>
        <v>57.1</v>
      </c>
      <c r="H137" s="15">
        <f>VLOOKUP($A$134,'集計'!$A$4:$EP$61,29,FALSE)</f>
        <v>9</v>
      </c>
      <c r="I137" s="16">
        <f>VLOOKUP($A$134,'集計'!$A$4:$EP$61,33,FALSE)</f>
        <v>271.6</v>
      </c>
      <c r="J137" s="15">
        <f>VLOOKUP($A$134,'集計'!$A$4:$EP$61,37,FALSE)</f>
        <v>12</v>
      </c>
      <c r="K137" s="16">
        <f>VLOOKUP($A$134,'集計'!$A$4:$EP$61,41,FALSE)</f>
        <v>190.5</v>
      </c>
      <c r="L137" s="15">
        <f>VLOOKUP($A$134,'集計'!$A$4:$EP$61,45,FALSE)</f>
        <v>4</v>
      </c>
      <c r="M137" s="16">
        <f>VLOOKUP($A$134,'集計'!$A$4:$EP$61,49,FALSE)</f>
        <v>58.7</v>
      </c>
      <c r="N137" s="15">
        <f>VLOOKUP($A$134,'集計'!$A$4:$EP$61,53,FALSE)</f>
        <v>3</v>
      </c>
      <c r="O137" s="16">
        <f>VLOOKUP($A$134,'集計'!$A$4:$EP$61,57,FALSE)</f>
        <v>9.3</v>
      </c>
      <c r="P137" s="15">
        <f>VLOOKUP($A$134,'集計'!$A$4:$EP$61,61,FALSE)</f>
        <v>4</v>
      </c>
      <c r="Q137" s="16">
        <f>VLOOKUP($A$134,'集計'!$A$4:$EP$61,65,FALSE)</f>
        <v>418.8</v>
      </c>
      <c r="R137" s="15">
        <f>VLOOKUP($A$134,'集計'!$A$4:$EP$61,69,FALSE)</f>
        <v>76</v>
      </c>
      <c r="S137" s="16">
        <f>VLOOKUP($A$134,'集計'!$A$4:$EP$61,73,FALSE)</f>
        <v>1017.65</v>
      </c>
      <c r="T137" s="32" t="s">
        <v>24</v>
      </c>
      <c r="U137" s="15">
        <f>VLOOKUP($A$134,'集計'!$A$4:$EP$61,77,FALSE)</f>
        <v>30</v>
      </c>
      <c r="V137" s="16">
        <f>VLOOKUP($A$134,'集計'!$A$4:$EP$61,81,FALSE)</f>
        <v>5.56</v>
      </c>
      <c r="W137" s="15">
        <f>VLOOKUP($A$134,'集計'!$A$4:$EP$61,85,FALSE)</f>
        <v>4</v>
      </c>
      <c r="X137" s="16">
        <f>VLOOKUP($A$134,'集計'!$A$4:$EP$61,89,FALSE)</f>
        <v>6.1</v>
      </c>
      <c r="Y137" s="15">
        <f>VLOOKUP($A$134,'集計'!$A$4:$EP$61,93,FALSE)</f>
        <v>10</v>
      </c>
      <c r="Z137" s="16">
        <f>VLOOKUP($A$134,'集計'!$A$4:$EP$61,97,FALSE)</f>
        <v>52.6</v>
      </c>
      <c r="AA137" s="15">
        <f>VLOOKUP($A$134,'集計'!$A$4:$EP$61,101,FALSE)</f>
        <v>9</v>
      </c>
      <c r="AB137" s="16">
        <f>VLOOKUP($A$134,'集計'!$A$4:$EP$61,105,FALSE)</f>
        <v>235.4</v>
      </c>
      <c r="AC137" s="15">
        <f>VLOOKUP($A$134,'集計'!$A$4:$EP$61,109,FALSE)</f>
        <v>11</v>
      </c>
      <c r="AD137" s="16">
        <f>VLOOKUP($A$134,'集計'!$A$4:$EP$61,113,FALSE)</f>
        <v>152.1</v>
      </c>
      <c r="AE137" s="15">
        <f>VLOOKUP($A$134,'集計'!$A$4:$EP$61,117,FALSE)</f>
        <v>3</v>
      </c>
      <c r="AF137" s="16">
        <f>VLOOKUP($A$134,'集計'!$A$4:$EP$61,121,FALSE)</f>
        <v>28</v>
      </c>
      <c r="AG137" s="15">
        <f>VLOOKUP($A$134,'集計'!$A$4:$EP$61,125,FALSE)</f>
        <v>2</v>
      </c>
      <c r="AH137" s="16">
        <f>VLOOKUP($A$134,'集計'!$A$4:$EP$61,129,FALSE)</f>
        <v>3.4</v>
      </c>
      <c r="AI137" s="15">
        <f>VLOOKUP($A$134,'集計'!$A$4:$EP$61,133,FALSE)</f>
        <v>4</v>
      </c>
      <c r="AJ137" s="16">
        <f>VLOOKUP($A$134,'集計'!$A$4:$EP$61,137,FALSE)</f>
        <v>343.1</v>
      </c>
      <c r="AK137" s="15">
        <f>VLOOKUP($A$134,'集計'!$A$4:$EP$61,141,FALSE)</f>
        <v>73</v>
      </c>
      <c r="AL137" s="16">
        <f>VLOOKUP($A$134,'集計'!$A$4:$EP$61,145,FALSE)</f>
        <v>826.26</v>
      </c>
    </row>
    <row r="138" spans="1:38" ht="13.5">
      <c r="A138" s="32" t="s">
        <v>45</v>
      </c>
      <c r="B138" s="15">
        <f>VLOOKUP($A$138,'集計'!$A$4:$EP$61,6,FALSE)</f>
        <v>591</v>
      </c>
      <c r="C138" s="16">
        <f>VLOOKUP($A$138,'集計'!$A$4:$EP$61,10,FALSE)</f>
        <v>158.4</v>
      </c>
      <c r="D138" s="15">
        <f>VLOOKUP($A$138,'集計'!$A$4:$EP$61,14,FALSE)</f>
        <v>132</v>
      </c>
      <c r="E138" s="16">
        <f>VLOOKUP($A$138,'集計'!$A$4:$EP$61,18,FALSE)</f>
        <v>265.7</v>
      </c>
      <c r="F138" s="15">
        <f>VLOOKUP($A$138,'集計'!$A$4:$EP$61,22,FALSE)</f>
        <v>17</v>
      </c>
      <c r="G138" s="16">
        <f>VLOOKUP($A$138,'集計'!$A$4:$EP$61,26,FALSE)</f>
        <v>79.9</v>
      </c>
      <c r="H138" s="15">
        <f>VLOOKUP($A$138,'集計'!$A$4:$EP$61,30,FALSE)</f>
        <v>62</v>
      </c>
      <c r="I138" s="16">
        <f>VLOOKUP($A$138,'集計'!$A$4:$EP$61,34,FALSE)</f>
        <v>1933.6</v>
      </c>
      <c r="J138" s="15">
        <f>VLOOKUP($A$138,'集計'!$A$4:$EP$61,38,FALSE)</f>
        <v>15</v>
      </c>
      <c r="K138" s="16">
        <f>VLOOKUP($A$138,'集計'!$A$4:$EP$61,42,FALSE)</f>
        <v>345.8</v>
      </c>
      <c r="L138" s="15">
        <f>VLOOKUP($A$138,'集計'!$A$4:$EP$61,46,FALSE)</f>
        <v>24</v>
      </c>
      <c r="M138" s="16">
        <f>VLOOKUP($A$138,'集計'!$A$4:$EP$61,50,FALSE)</f>
        <v>516.9</v>
      </c>
      <c r="N138" s="15">
        <f>VLOOKUP($A$138,'集計'!$A$4:$EP$61,54,FALSE)</f>
        <v>10</v>
      </c>
      <c r="O138" s="16">
        <f>VLOOKUP($A$138,'集計'!$A$4:$EP$61,58,FALSE)</f>
        <v>29.7</v>
      </c>
      <c r="P138" s="15">
        <f>VLOOKUP($A$138,'集計'!$A$4:$EP$61,62,FALSE)</f>
        <v>4</v>
      </c>
      <c r="Q138" s="16">
        <f>VLOOKUP($A$138,'集計'!$A$4:$EP$61,66,FALSE)</f>
        <v>468.9</v>
      </c>
      <c r="R138" s="15">
        <f>VLOOKUP($A$138,'集計'!$A$4:$EP$61,70,FALSE)</f>
        <v>855</v>
      </c>
      <c r="S138" s="16">
        <f>VLOOKUP($A$138,'集計'!$A$4:$EP$61,74,FALSE)</f>
        <v>3798.9</v>
      </c>
      <c r="T138" s="32" t="s">
        <v>45</v>
      </c>
      <c r="U138" s="15">
        <f>VLOOKUP($A$138,'集計'!$A$4:$EP$61,78,FALSE)</f>
        <v>531</v>
      </c>
      <c r="V138" s="16">
        <f>VLOOKUP($A$138,'集計'!$A$4:$EP$61,82,FALSE)</f>
        <v>141.33</v>
      </c>
      <c r="W138" s="15">
        <f>VLOOKUP($A$138,'集計'!$A$4:$EP$61,86,FALSE)</f>
        <v>99</v>
      </c>
      <c r="X138" s="16">
        <f>VLOOKUP($A$138,'集計'!$A$4:$EP$61,90,FALSE)</f>
        <v>156.7</v>
      </c>
      <c r="Y138" s="15">
        <f>VLOOKUP($A$138,'集計'!$A$4:$EP$61,94,FALSE)</f>
        <v>16</v>
      </c>
      <c r="Z138" s="16">
        <f>VLOOKUP($A$138,'集計'!$A$4:$EP$61,98,FALSE)</f>
        <v>66.2</v>
      </c>
      <c r="AA138" s="15">
        <f>VLOOKUP($A$138,'集計'!$A$4:$EP$61,102,FALSE)</f>
        <v>51</v>
      </c>
      <c r="AB138" s="16">
        <f>VLOOKUP($A$138,'集計'!$A$4:$EP$61,106,FALSE)</f>
        <v>774.4</v>
      </c>
      <c r="AC138" s="15">
        <f>VLOOKUP($A$138,'集計'!$A$4:$EP$61,110,FALSE)</f>
        <v>14</v>
      </c>
      <c r="AD138" s="16">
        <f>VLOOKUP($A$138,'集計'!$A$4:$EP$61,114,FALSE)</f>
        <v>273.2</v>
      </c>
      <c r="AE138" s="15">
        <f>VLOOKUP($A$138,'集計'!$A$4:$EP$61,118,FALSE)</f>
        <v>20</v>
      </c>
      <c r="AF138" s="16">
        <f>VLOOKUP($A$138,'集計'!$A$4:$EP$61,122,FALSE)</f>
        <v>150.6</v>
      </c>
      <c r="AG138" s="15">
        <f>VLOOKUP($A$138,'集計'!$A$4:$EP$61,126,FALSE)</f>
        <v>6</v>
      </c>
      <c r="AH138" s="16">
        <f>VLOOKUP($A$138,'集計'!$A$4:$EP$61,130,FALSE)</f>
        <v>11.1</v>
      </c>
      <c r="AI138" s="15">
        <f>VLOOKUP($A$138,'集計'!$A$4:$EP$61,134,FALSE)</f>
        <v>4</v>
      </c>
      <c r="AJ138" s="16">
        <f>VLOOKUP($A$138,'集計'!$A$4:$EP$61,138,FALSE)</f>
        <v>372</v>
      </c>
      <c r="AK138" s="15">
        <f>VLOOKUP($A$138,'集計'!$A$4:$EP$61,142,FALSE)</f>
        <v>741</v>
      </c>
      <c r="AL138" s="16">
        <f>VLOOKUP($A$138,'集計'!$A$4:$EP$61,146,FALSE)</f>
        <v>1945.53</v>
      </c>
    </row>
    <row r="139" spans="1:38" ht="13.5">
      <c r="A139" s="32" t="s">
        <v>22</v>
      </c>
      <c r="B139" s="15">
        <f>VLOOKUP($A$138,'集計'!$A$4:$EP$61,3,FALSE)</f>
        <v>455</v>
      </c>
      <c r="C139" s="16">
        <f>VLOOKUP($A$138,'集計'!$A$4:$EP$61,7,FALSE)</f>
        <v>120.27</v>
      </c>
      <c r="D139" s="15">
        <f>VLOOKUP($A$138,'集計'!$A$4:$EP$61,11,FALSE)</f>
        <v>85</v>
      </c>
      <c r="E139" s="16">
        <f>VLOOKUP($A$138,'集計'!$A$4:$EP$61,15,FALSE)</f>
        <v>160.3</v>
      </c>
      <c r="F139" s="15">
        <f>VLOOKUP($A$138,'集計'!$A$4:$EP$61,19,FALSE)</f>
        <v>7</v>
      </c>
      <c r="G139" s="16">
        <f>VLOOKUP($A$138,'集計'!$A$4:$EP$61,23,FALSE)</f>
        <v>35.8</v>
      </c>
      <c r="H139" s="15">
        <f>VLOOKUP($A$138,'集計'!$A$4:$EP$61,27,FALSE)</f>
        <v>15</v>
      </c>
      <c r="I139" s="16">
        <f>VLOOKUP($A$138,'集計'!$A$4:$EP$61,31,FALSE)</f>
        <v>193.1</v>
      </c>
      <c r="J139" s="15">
        <f>VLOOKUP($A$138,'集計'!$A$4:$EP$61,35,FALSE)</f>
        <v>4</v>
      </c>
      <c r="K139" s="16">
        <f>VLOOKUP($A$138,'集計'!$A$4:$EP$61,39,FALSE)</f>
        <v>73.8</v>
      </c>
      <c r="L139" s="15">
        <f>VLOOKUP($A$138,'集計'!$A$4:$EP$61,43,FALSE)</f>
        <v>5</v>
      </c>
      <c r="M139" s="16">
        <f>VLOOKUP($A$138,'集計'!$A$4:$EP$61,47,FALSE)</f>
        <v>31.4</v>
      </c>
      <c r="N139" s="15">
        <f>VLOOKUP($A$138,'集計'!$A$4:$EP$61,51,FALSE)</f>
        <v>6</v>
      </c>
      <c r="O139" s="16">
        <f>VLOOKUP($A$138,'集計'!$A$4:$EP$61,55,FALSE)</f>
        <v>14</v>
      </c>
      <c r="P139" s="15">
        <f>VLOOKUP($A$138,'集計'!$A$4:$EP$61,59,FALSE)</f>
        <v>0</v>
      </c>
      <c r="Q139" s="16">
        <f>VLOOKUP($A$138,'集計'!$A$4:$EP$61,63,FALSE)</f>
        <v>0</v>
      </c>
      <c r="R139" s="15">
        <f>VLOOKUP($A$138,'集計'!$A$4:$EP$61,67,FALSE)</f>
        <v>577</v>
      </c>
      <c r="S139" s="16">
        <f>VLOOKUP($A$138,'集計'!$A$4:$EP$61,71,FALSE)</f>
        <v>628.67</v>
      </c>
      <c r="T139" s="32" t="s">
        <v>22</v>
      </c>
      <c r="U139" s="15">
        <f>VLOOKUP($A$138,'集計'!$A$4:$EP$61,75,FALSE)</f>
        <v>419</v>
      </c>
      <c r="V139" s="16">
        <f>VLOOKUP($A$138,'集計'!$A$4:$EP$61,79,FALSE)</f>
        <v>109.95</v>
      </c>
      <c r="W139" s="15">
        <f>VLOOKUP($A$138,'集計'!$A$4:$EP$61,83,FALSE)</f>
        <v>66</v>
      </c>
      <c r="X139" s="16">
        <f>VLOOKUP($A$138,'集計'!$A$4:$EP$61,87,FALSE)</f>
        <v>90.8</v>
      </c>
      <c r="Y139" s="15">
        <f>VLOOKUP($A$138,'集計'!$A$4:$EP$61,91,FALSE)</f>
        <v>8</v>
      </c>
      <c r="Z139" s="16">
        <f>VLOOKUP($A$138,'集計'!$A$4:$EP$61,95,FALSE)</f>
        <v>38.5</v>
      </c>
      <c r="AA139" s="15">
        <f>VLOOKUP($A$138,'集計'!$A$4:$EP$61,99,FALSE)</f>
        <v>11</v>
      </c>
      <c r="AB139" s="16">
        <f>VLOOKUP($A$138,'集計'!$A$4:$EP$61,103,FALSE)</f>
        <v>76.3</v>
      </c>
      <c r="AC139" s="15">
        <f>VLOOKUP($A$138,'集計'!$A$4:$EP$61,107,FALSE)</f>
        <v>3</v>
      </c>
      <c r="AD139" s="16">
        <f>VLOOKUP($A$138,'集計'!$A$4:$EP$61,111,FALSE)</f>
        <v>51.6</v>
      </c>
      <c r="AE139" s="15">
        <f>VLOOKUP($A$138,'集計'!$A$4:$EP$61,115,FALSE)</f>
        <v>4</v>
      </c>
      <c r="AF139" s="16">
        <f>VLOOKUP($A$138,'集計'!$A$4:$EP$61,119,FALSE)</f>
        <v>14.9</v>
      </c>
      <c r="AG139" s="15">
        <f>VLOOKUP($A$138,'集計'!$A$4:$EP$61,123,FALSE)</f>
        <v>3</v>
      </c>
      <c r="AH139" s="16">
        <f>VLOOKUP($A$138,'集計'!$A$4:$EP$61,127,FALSE)</f>
        <v>6</v>
      </c>
      <c r="AI139" s="15">
        <f>VLOOKUP($A$138,'集計'!$A$4:$EP$61,131,FALSE)</f>
        <v>0</v>
      </c>
      <c r="AJ139" s="16">
        <f>VLOOKUP($A$138,'集計'!$A$4:$EP$61,135,FALSE)</f>
        <v>0</v>
      </c>
      <c r="AK139" s="15">
        <f>VLOOKUP($A$138,'集計'!$A$4:$EP$61,139,FALSE)</f>
        <v>514</v>
      </c>
      <c r="AL139" s="16">
        <f>VLOOKUP($A$138,'集計'!$A$4:$EP$61,143,FALSE)</f>
        <v>388.05</v>
      </c>
    </row>
    <row r="140" spans="1:38" ht="13.5">
      <c r="A140" s="32" t="s">
        <v>23</v>
      </c>
      <c r="B140" s="15">
        <f>VLOOKUP($A$138,'集計'!$A$4:$EP$61,4,FALSE)</f>
        <v>118</v>
      </c>
      <c r="C140" s="16">
        <f>VLOOKUP($A$138,'集計'!$A$4:$EP$61,8,FALSE)</f>
        <v>31.66</v>
      </c>
      <c r="D140" s="15">
        <f>VLOOKUP($A$138,'集計'!$A$4:$EP$61,(12),FALSE)</f>
        <v>34</v>
      </c>
      <c r="E140" s="16">
        <f>VLOOKUP($A$138,'集計'!$A$4:$EP$61,16,FALSE)</f>
        <v>66.8</v>
      </c>
      <c r="F140" s="15">
        <f>VLOOKUP($A$138,'集計'!$A$4:$EP$61,20,FALSE)</f>
        <v>8</v>
      </c>
      <c r="G140" s="16">
        <f>VLOOKUP($A$138,'集計'!$A$4:$EP$61,24,FALSE)</f>
        <v>34</v>
      </c>
      <c r="H140" s="15">
        <f>VLOOKUP($A$138,'集計'!$A$4:$EP$61,28,FALSE)</f>
        <v>11</v>
      </c>
      <c r="I140" s="16">
        <f>VLOOKUP($A$138,'集計'!$A$4:$EP$61,32,FALSE)</f>
        <v>316.2</v>
      </c>
      <c r="J140" s="15">
        <f>VLOOKUP($A$138,'集計'!$A$4:$EP$61,36,FALSE)</f>
        <v>1</v>
      </c>
      <c r="K140" s="16">
        <f>VLOOKUP($A$138,'集計'!$A$4:$EP$61,40,FALSE)</f>
        <v>20.7</v>
      </c>
      <c r="L140" s="15">
        <f>VLOOKUP($A$138,'集計'!$A$4:$EP$61,44,FALSE)</f>
        <v>2</v>
      </c>
      <c r="M140" s="16">
        <f>VLOOKUP($A$138,'集計'!$A$4:$EP$61,48,FALSE)</f>
        <v>18.1</v>
      </c>
      <c r="N140" s="15">
        <f>VLOOKUP($A$138,'集計'!$A$4:$EP$61,52,FALSE)</f>
        <v>0</v>
      </c>
      <c r="O140" s="16">
        <f>VLOOKUP($A$138,'集計'!$A$4:$EP$61,56,FALSE)</f>
        <v>0</v>
      </c>
      <c r="P140" s="15">
        <f>VLOOKUP($A$138,'集計'!$A$4:$EP$61,60,FALSE)</f>
        <v>0</v>
      </c>
      <c r="Q140" s="16">
        <f>VLOOKUP($A$138,'集計'!$A$4:$EP$61,64,FALSE)</f>
        <v>0</v>
      </c>
      <c r="R140" s="15">
        <f>VLOOKUP($A$138,'集計'!$A$4:$EP$61,68,FALSE)</f>
        <v>174</v>
      </c>
      <c r="S140" s="16">
        <f>VLOOKUP($A$138,'集計'!$A$4:$EP$61,72,FALSE)</f>
        <v>487.46</v>
      </c>
      <c r="T140" s="32" t="s">
        <v>23</v>
      </c>
      <c r="U140" s="15">
        <f>VLOOKUP($A$138,'集計'!$A$4:$EP$61,76,FALSE)</f>
        <v>96</v>
      </c>
      <c r="V140" s="16">
        <f>VLOOKUP($A$138,'集計'!$A$4:$EP$61,80,FALSE)</f>
        <v>25.44</v>
      </c>
      <c r="W140" s="15">
        <f>VLOOKUP($A$138,'集計'!$A$4:$EP$61,84,FALSE)</f>
        <v>27</v>
      </c>
      <c r="X140" s="16">
        <f>VLOOKUP($A$138,'集計'!$A$4:$EP$61,88,FALSE)</f>
        <v>51.5</v>
      </c>
      <c r="Y140" s="15">
        <f>VLOOKUP($A$138,'集計'!$A$4:$EP$61,92,FALSE)</f>
        <v>6</v>
      </c>
      <c r="Z140" s="16">
        <f>VLOOKUP($A$138,'集計'!$A$4:$EP$61,96,FALSE)</f>
        <v>19.9</v>
      </c>
      <c r="AA140" s="15">
        <f>VLOOKUP($A$138,'集計'!$A$4:$EP$61,100,FALSE)</f>
        <v>9</v>
      </c>
      <c r="AB140" s="16">
        <f>VLOOKUP($A$138,'集計'!$A$4:$EP$61,104,FALSE)</f>
        <v>130.9</v>
      </c>
      <c r="AC140" s="15">
        <f>VLOOKUP($A$138,'集計'!$A$4:$EP$61,108,FALSE)</f>
        <v>1</v>
      </c>
      <c r="AD140" s="16">
        <f>VLOOKUP($A$138,'集計'!$A$4:$EP$61,112,FALSE)</f>
        <v>18.1</v>
      </c>
      <c r="AE140" s="15">
        <f>VLOOKUP($A$138,'集計'!$A$4:$EP$61,116,FALSE)</f>
        <v>2</v>
      </c>
      <c r="AF140" s="16">
        <f>VLOOKUP($A$138,'集計'!$A$4:$EP$61,120,FALSE)</f>
        <v>10.9</v>
      </c>
      <c r="AG140" s="15">
        <f>VLOOKUP($A$138,'集計'!$A$4:$EP$61,124,FALSE)</f>
        <v>0</v>
      </c>
      <c r="AH140" s="16">
        <f>VLOOKUP($A$138,'集計'!$A$4:$EP$61,128,FALSE)</f>
        <v>0</v>
      </c>
      <c r="AI140" s="15">
        <f>VLOOKUP($A$138,'集計'!$A$4:$EP$61,132,FALSE)</f>
        <v>0</v>
      </c>
      <c r="AJ140" s="16">
        <f>VLOOKUP($A$138,'集計'!$A$4:$EP$61,136,FALSE)</f>
        <v>0</v>
      </c>
      <c r="AK140" s="15">
        <f>VLOOKUP($A$138,'集計'!$A$4:$EP$61,140,FALSE)</f>
        <v>141</v>
      </c>
      <c r="AL140" s="16">
        <f>VLOOKUP($A$138,'集計'!$A$4:$EP$61,144,FALSE)</f>
        <v>256.74</v>
      </c>
    </row>
    <row r="141" spans="1:38" ht="13.5">
      <c r="A141" s="32" t="s">
        <v>24</v>
      </c>
      <c r="B141" s="15">
        <f>VLOOKUP($A$138,'集計'!$A$4:$EP$61,5,FALSE)</f>
        <v>18</v>
      </c>
      <c r="C141" s="16">
        <f>VLOOKUP($A$138,'集計'!$A$4:$EP$61,9,FALSE)</f>
        <v>6.47</v>
      </c>
      <c r="D141" s="15">
        <f>VLOOKUP($A$138,'集計'!$A$4:$EP$61,13,FALSE)</f>
        <v>13</v>
      </c>
      <c r="E141" s="16">
        <f>VLOOKUP($A$138,'集計'!$A$4:$EP$61,17,FALSE)</f>
        <v>38.6</v>
      </c>
      <c r="F141" s="15">
        <f>VLOOKUP($A$138,'集計'!$A$4:$EP$61,21,FALSE)</f>
        <v>2</v>
      </c>
      <c r="G141" s="16">
        <f>VLOOKUP($A$138,'集計'!$A$4:$EP$61,25,FALSE)</f>
        <v>10.1</v>
      </c>
      <c r="H141" s="15">
        <f>VLOOKUP($A$138,'集計'!$A$4:$EP$61,29,FALSE)</f>
        <v>36</v>
      </c>
      <c r="I141" s="16">
        <f>VLOOKUP($A$138,'集計'!$A$4:$EP$61,33,FALSE)</f>
        <v>1424.3</v>
      </c>
      <c r="J141" s="15">
        <f>VLOOKUP($A$138,'集計'!$A$4:$EP$61,37,FALSE)</f>
        <v>10</v>
      </c>
      <c r="K141" s="16">
        <f>VLOOKUP($A$138,'集計'!$A$4:$EP$61,41,FALSE)</f>
        <v>251.3</v>
      </c>
      <c r="L141" s="15">
        <f>VLOOKUP($A$138,'集計'!$A$4:$EP$61,45,FALSE)</f>
        <v>17</v>
      </c>
      <c r="M141" s="16">
        <f>VLOOKUP($A$138,'集計'!$A$4:$EP$61,49,FALSE)</f>
        <v>467.4</v>
      </c>
      <c r="N141" s="15">
        <f>VLOOKUP($A$138,'集計'!$A$4:$EP$61,53,FALSE)</f>
        <v>4</v>
      </c>
      <c r="O141" s="16">
        <f>VLOOKUP($A$138,'集計'!$A$4:$EP$61,57,FALSE)</f>
        <v>15.7</v>
      </c>
      <c r="P141" s="15">
        <f>VLOOKUP($A$138,'集計'!$A$4:$EP$61,61,FALSE)</f>
        <v>4</v>
      </c>
      <c r="Q141" s="16">
        <f>VLOOKUP($A$138,'集計'!$A$4:$EP$61,65,FALSE)</f>
        <v>468.9</v>
      </c>
      <c r="R141" s="15">
        <f>VLOOKUP($A$138,'集計'!$A$4:$EP$61,69,FALSE)</f>
        <v>104</v>
      </c>
      <c r="S141" s="16">
        <f>VLOOKUP($A$138,'集計'!$A$4:$EP$61,73,FALSE)</f>
        <v>2682.77</v>
      </c>
      <c r="T141" s="32" t="s">
        <v>24</v>
      </c>
      <c r="U141" s="15">
        <f>VLOOKUP($A$138,'集計'!$A$4:$EP$61,77,FALSE)</f>
        <v>16</v>
      </c>
      <c r="V141" s="16">
        <f>VLOOKUP($A$138,'集計'!$A$4:$EP$61,81,FALSE)</f>
        <v>5.94</v>
      </c>
      <c r="W141" s="15">
        <f>VLOOKUP($A$138,'集計'!$A$4:$EP$61,85,FALSE)</f>
        <v>6</v>
      </c>
      <c r="X141" s="16">
        <f>VLOOKUP($A$138,'集計'!$A$4:$EP$61,89,FALSE)</f>
        <v>14.4</v>
      </c>
      <c r="Y141" s="15">
        <f>VLOOKUP($A$138,'集計'!$A$4:$EP$61,93,FALSE)</f>
        <v>2</v>
      </c>
      <c r="Z141" s="16">
        <f>VLOOKUP($A$138,'集計'!$A$4:$EP$61,97,FALSE)</f>
        <v>7.8</v>
      </c>
      <c r="AA141" s="15">
        <f>VLOOKUP($A$138,'集計'!$A$4:$EP$61,101,FALSE)</f>
        <v>31</v>
      </c>
      <c r="AB141" s="16">
        <f>VLOOKUP($A$138,'集計'!$A$4:$EP$61,105,FALSE)</f>
        <v>567.2</v>
      </c>
      <c r="AC141" s="15">
        <f>VLOOKUP($A$138,'集計'!$A$4:$EP$61,109,FALSE)</f>
        <v>10</v>
      </c>
      <c r="AD141" s="16">
        <f>VLOOKUP($A$138,'集計'!$A$4:$EP$61,113,FALSE)</f>
        <v>203.5</v>
      </c>
      <c r="AE141" s="15">
        <f>VLOOKUP($A$138,'集計'!$A$4:$EP$61,117,FALSE)</f>
        <v>14</v>
      </c>
      <c r="AF141" s="16">
        <f>VLOOKUP($A$138,'集計'!$A$4:$EP$61,121,FALSE)</f>
        <v>124.8</v>
      </c>
      <c r="AG141" s="15">
        <f>VLOOKUP($A$138,'集計'!$A$4:$EP$61,125,FALSE)</f>
        <v>3</v>
      </c>
      <c r="AH141" s="16">
        <f>VLOOKUP($A$138,'集計'!$A$4:$EP$61,129,FALSE)</f>
        <v>5.1</v>
      </c>
      <c r="AI141" s="15">
        <f>VLOOKUP($A$138,'集計'!$A$4:$EP$61,133,FALSE)</f>
        <v>4</v>
      </c>
      <c r="AJ141" s="16">
        <f>VLOOKUP($A$138,'集計'!$A$4:$EP$61,137,FALSE)</f>
        <v>372</v>
      </c>
      <c r="AK141" s="15">
        <f>VLOOKUP($A$138,'集計'!$A$4:$EP$61,141,FALSE)</f>
        <v>86</v>
      </c>
      <c r="AL141" s="16">
        <f>VLOOKUP($A$138,'集計'!$A$4:$EP$61,145,FALSE)</f>
        <v>1300.74</v>
      </c>
    </row>
    <row r="142" spans="1:38" ht="13.5">
      <c r="A142" s="32" t="s">
        <v>46</v>
      </c>
      <c r="B142" s="15">
        <f>VLOOKUP($A$142,'集計'!$A$4:$EP$61,6,FALSE)</f>
        <v>2448</v>
      </c>
      <c r="C142" s="16">
        <f>VLOOKUP($A$142,'集計'!$A$4:$EP$61,10,FALSE)</f>
        <v>679.46</v>
      </c>
      <c r="D142" s="15">
        <f>VLOOKUP($A$142,'集計'!$A$4:$EP$61,14,FALSE)</f>
        <v>284</v>
      </c>
      <c r="E142" s="16">
        <f>VLOOKUP($A$142,'集計'!$A$4:$EP$61,18,FALSE)</f>
        <v>488.5</v>
      </c>
      <c r="F142" s="15">
        <f>VLOOKUP($A$142,'集計'!$A$4:$EP$61,22,FALSE)</f>
        <v>83</v>
      </c>
      <c r="G142" s="16">
        <f>VLOOKUP($A$142,'集計'!$A$4:$EP$61,26,FALSE)</f>
        <v>491.2</v>
      </c>
      <c r="H142" s="15">
        <f>VLOOKUP($A$142,'集計'!$A$4:$EP$61,30,FALSE)</f>
        <v>43</v>
      </c>
      <c r="I142" s="16">
        <f>VLOOKUP($A$142,'集計'!$A$4:$EP$61,34,FALSE)</f>
        <v>1180.7</v>
      </c>
      <c r="J142" s="15">
        <f>VLOOKUP($A$142,'集計'!$A$4:$EP$61,38,FALSE)</f>
        <v>25</v>
      </c>
      <c r="K142" s="16">
        <f>VLOOKUP($A$142,'集計'!$A$4:$EP$61,42,FALSE)</f>
        <v>544</v>
      </c>
      <c r="L142" s="15">
        <f>VLOOKUP($A$142,'集計'!$A$4:$EP$61,46,FALSE)</f>
        <v>4</v>
      </c>
      <c r="M142" s="16">
        <f>VLOOKUP($A$142,'集計'!$A$4:$EP$61,50,FALSE)</f>
        <v>39</v>
      </c>
      <c r="N142" s="15">
        <f>VLOOKUP($A$142,'集計'!$A$4:$EP$61,54,FALSE)</f>
        <v>22</v>
      </c>
      <c r="O142" s="16">
        <f>VLOOKUP($A$142,'集計'!$A$4:$EP$61,58,FALSE)</f>
        <v>121.7</v>
      </c>
      <c r="P142" s="15">
        <f>VLOOKUP($A$142,'集計'!$A$4:$EP$61,62,FALSE)</f>
        <v>6</v>
      </c>
      <c r="Q142" s="16">
        <f>VLOOKUP($A$142,'集計'!$A$4:$EP$61,66,FALSE)</f>
        <v>814</v>
      </c>
      <c r="R142" s="15">
        <f>VLOOKUP($A$142,'集計'!$A$4:$EP$61,70,FALSE)</f>
        <v>2915</v>
      </c>
      <c r="S142" s="16">
        <f>VLOOKUP($A$142,'集計'!$A$4:$EP$61,74,FALSE)</f>
        <v>4358.56</v>
      </c>
      <c r="T142" s="32" t="s">
        <v>46</v>
      </c>
      <c r="U142" s="15">
        <f>VLOOKUP($A$142,'集計'!$A$4:$EP$61,78,FALSE)</f>
        <v>2357</v>
      </c>
      <c r="V142" s="16">
        <f>VLOOKUP($A$142,'集計'!$A$4:$EP$61,82,FALSE)</f>
        <v>655.45</v>
      </c>
      <c r="W142" s="15">
        <f>VLOOKUP($A$142,'集計'!$A$4:$EP$61,86,FALSE)</f>
        <v>263</v>
      </c>
      <c r="X142" s="16">
        <f>VLOOKUP($A$142,'集計'!$A$4:$EP$61,90,FALSE)</f>
        <v>436.4</v>
      </c>
      <c r="Y142" s="15">
        <f>VLOOKUP($A$142,'集計'!$A$4:$EP$61,94,FALSE)</f>
        <v>75</v>
      </c>
      <c r="Z142" s="16">
        <f>VLOOKUP($A$142,'集計'!$A$4:$EP$61,98,FALSE)</f>
        <v>334.3</v>
      </c>
      <c r="AA142" s="15">
        <f>VLOOKUP($A$142,'集計'!$A$4:$EP$61,102,FALSE)</f>
        <v>38</v>
      </c>
      <c r="AB142" s="16">
        <f>VLOOKUP($A$142,'集計'!$A$4:$EP$61,106,FALSE)</f>
        <v>729.7</v>
      </c>
      <c r="AC142" s="15">
        <f>VLOOKUP($A$142,'集計'!$A$4:$EP$61,110,FALSE)</f>
        <v>25</v>
      </c>
      <c r="AD142" s="16">
        <f>VLOOKUP($A$142,'集計'!$A$4:$EP$61,114,FALSE)</f>
        <v>435.2</v>
      </c>
      <c r="AE142" s="15">
        <f>VLOOKUP($A$142,'集計'!$A$4:$EP$61,118,FALSE)</f>
        <v>4</v>
      </c>
      <c r="AF142" s="16">
        <f>VLOOKUP($A$142,'集計'!$A$4:$EP$61,122,FALSE)</f>
        <v>35.6</v>
      </c>
      <c r="AG142" s="15">
        <f>VLOOKUP($A$142,'集計'!$A$4:$EP$61,126,FALSE)</f>
        <v>19</v>
      </c>
      <c r="AH142" s="16">
        <f>VLOOKUP($A$142,'集計'!$A$4:$EP$61,130,FALSE)</f>
        <v>101.8</v>
      </c>
      <c r="AI142" s="15">
        <f>VLOOKUP($A$142,'集計'!$A$4:$EP$61,134,FALSE)</f>
        <v>5</v>
      </c>
      <c r="AJ142" s="16">
        <f>VLOOKUP($A$142,'集計'!$A$4:$EP$61,138,FALSE)</f>
        <v>493.4</v>
      </c>
      <c r="AK142" s="15">
        <f>VLOOKUP($A$142,'集計'!$A$4:$EP$61,142,FALSE)</f>
        <v>2786</v>
      </c>
      <c r="AL142" s="16">
        <f>VLOOKUP($A$142,'集計'!$A$4:$EP$61,146,FALSE)</f>
        <v>3221.85</v>
      </c>
    </row>
    <row r="143" spans="1:38" ht="13.5">
      <c r="A143" s="32" t="s">
        <v>22</v>
      </c>
      <c r="B143" s="15">
        <f>VLOOKUP($A$142,'集計'!$A$4:$EP$61,3,FALSE)</f>
        <v>1999</v>
      </c>
      <c r="C143" s="16">
        <f>VLOOKUP($A$142,'集計'!$A$4:$EP$61,7,FALSE)</f>
        <v>561.54</v>
      </c>
      <c r="D143" s="15">
        <f>VLOOKUP($A$142,'集計'!$A$4:$EP$61,11,FALSE)</f>
        <v>222</v>
      </c>
      <c r="E143" s="16">
        <f>VLOOKUP($A$142,'集計'!$A$4:$EP$61,15,FALSE)</f>
        <v>375.5</v>
      </c>
      <c r="F143" s="15">
        <f>VLOOKUP($A$142,'集計'!$A$4:$EP$61,19,FALSE)</f>
        <v>58</v>
      </c>
      <c r="G143" s="16">
        <f>VLOOKUP($A$142,'集計'!$A$4:$EP$61,23,FALSE)</f>
        <v>331.5</v>
      </c>
      <c r="H143" s="15">
        <f>VLOOKUP($A$142,'集計'!$A$4:$EP$61,27,FALSE)</f>
        <v>16</v>
      </c>
      <c r="I143" s="16">
        <f>VLOOKUP($A$142,'集計'!$A$4:$EP$61,31,FALSE)</f>
        <v>574</v>
      </c>
      <c r="J143" s="15">
        <f>VLOOKUP($A$142,'集計'!$A$4:$EP$61,35,FALSE)</f>
        <v>8</v>
      </c>
      <c r="K143" s="16">
        <f>VLOOKUP($A$142,'集計'!$A$4:$EP$61,39,FALSE)</f>
        <v>150.4</v>
      </c>
      <c r="L143" s="15">
        <f>VLOOKUP($A$142,'集計'!$A$4:$EP$61,43,FALSE)</f>
        <v>1</v>
      </c>
      <c r="M143" s="16">
        <f>VLOOKUP($A$142,'集計'!$A$4:$EP$61,47,FALSE)</f>
        <v>4.5</v>
      </c>
      <c r="N143" s="15">
        <f>VLOOKUP($A$142,'集計'!$A$4:$EP$61,51,FALSE)</f>
        <v>13</v>
      </c>
      <c r="O143" s="16">
        <f>VLOOKUP($A$142,'集計'!$A$4:$EP$61,55,FALSE)</f>
        <v>88.2</v>
      </c>
      <c r="P143" s="15">
        <f>VLOOKUP($A$142,'集計'!$A$4:$EP$61,59,FALSE)</f>
        <v>0</v>
      </c>
      <c r="Q143" s="16">
        <f>VLOOKUP($A$142,'集計'!$A$4:$EP$61,63,FALSE)</f>
        <v>0</v>
      </c>
      <c r="R143" s="15">
        <f>VLOOKUP($A$142,'集計'!$A$4:$EP$61,67,FALSE)</f>
        <v>2317</v>
      </c>
      <c r="S143" s="16">
        <f>VLOOKUP($A$142,'集計'!$A$4:$EP$61,71,FALSE)</f>
        <v>2085.64</v>
      </c>
      <c r="T143" s="32" t="s">
        <v>22</v>
      </c>
      <c r="U143" s="15">
        <f>VLOOKUP($A$142,'集計'!$A$4:$EP$61,75,FALSE)</f>
        <v>1949</v>
      </c>
      <c r="V143" s="16">
        <f>VLOOKUP($A$142,'集計'!$A$4:$EP$61,79,FALSE)</f>
        <v>546.22</v>
      </c>
      <c r="W143" s="15">
        <f>VLOOKUP($A$142,'集計'!$A$4:$EP$61,83,FALSE)</f>
        <v>211</v>
      </c>
      <c r="X143" s="16">
        <f>VLOOKUP($A$142,'集計'!$A$4:$EP$61,87,FALSE)</f>
        <v>345.9</v>
      </c>
      <c r="Y143" s="15">
        <f>VLOOKUP($A$142,'集計'!$A$4:$EP$61,91,FALSE)</f>
        <v>54</v>
      </c>
      <c r="Z143" s="16">
        <f>VLOOKUP($A$142,'集計'!$A$4:$EP$61,95,FALSE)</f>
        <v>226.9</v>
      </c>
      <c r="AA143" s="15">
        <f>VLOOKUP($A$142,'集計'!$A$4:$EP$61,99,FALSE)</f>
        <v>15</v>
      </c>
      <c r="AB143" s="16">
        <f>VLOOKUP($A$142,'集計'!$A$4:$EP$61,103,FALSE)</f>
        <v>360.6</v>
      </c>
      <c r="AC143" s="15">
        <f>VLOOKUP($A$142,'集計'!$A$4:$EP$61,107,FALSE)</f>
        <v>8</v>
      </c>
      <c r="AD143" s="16">
        <f>VLOOKUP($A$142,'集計'!$A$4:$EP$61,111,FALSE)</f>
        <v>138.6</v>
      </c>
      <c r="AE143" s="15">
        <f>VLOOKUP($A$142,'集計'!$A$4:$EP$61,115,FALSE)</f>
        <v>1</v>
      </c>
      <c r="AF143" s="16">
        <f>VLOOKUP($A$142,'集計'!$A$4:$EP$61,119,FALSE)</f>
        <v>4.5</v>
      </c>
      <c r="AG143" s="15">
        <f>VLOOKUP($A$142,'集計'!$A$4:$EP$61,123,FALSE)</f>
        <v>10</v>
      </c>
      <c r="AH143" s="16">
        <f>VLOOKUP($A$142,'集計'!$A$4:$EP$61,127,FALSE)</f>
        <v>70.4</v>
      </c>
      <c r="AI143" s="15">
        <f>VLOOKUP($A$142,'集計'!$A$4:$EP$61,131,FALSE)</f>
        <v>0</v>
      </c>
      <c r="AJ143" s="16">
        <f>VLOOKUP($A$142,'集計'!$A$4:$EP$61,135,FALSE)</f>
        <v>0</v>
      </c>
      <c r="AK143" s="15">
        <f>VLOOKUP($A$142,'集計'!$A$4:$EP$61,139,FALSE)</f>
        <v>2248</v>
      </c>
      <c r="AL143" s="16">
        <f>VLOOKUP($A$142,'集計'!$A$4:$EP$61,143,FALSE)</f>
        <v>1693.12</v>
      </c>
    </row>
    <row r="144" spans="1:38" ht="13.5">
      <c r="A144" s="32" t="s">
        <v>23</v>
      </c>
      <c r="B144" s="15">
        <f>VLOOKUP($A$142,'集計'!$A$4:$EP$61,4,FALSE)</f>
        <v>324</v>
      </c>
      <c r="C144" s="16">
        <f>VLOOKUP($A$142,'集計'!$A$4:$EP$61,8,FALSE)</f>
        <v>80.1</v>
      </c>
      <c r="D144" s="15">
        <f>VLOOKUP($A$142,'集計'!$A$4:$EP$61,(12),FALSE)</f>
        <v>45</v>
      </c>
      <c r="E144" s="16">
        <f>VLOOKUP($A$142,'集計'!$A$4:$EP$61,16,FALSE)</f>
        <v>77.2</v>
      </c>
      <c r="F144" s="15">
        <f>VLOOKUP($A$142,'集計'!$A$4:$EP$61,20,FALSE)</f>
        <v>6</v>
      </c>
      <c r="G144" s="16">
        <f>VLOOKUP($A$142,'集計'!$A$4:$EP$61,24,FALSE)</f>
        <v>42</v>
      </c>
      <c r="H144" s="15">
        <f>VLOOKUP($A$142,'集計'!$A$4:$EP$61,28,FALSE)</f>
        <v>6</v>
      </c>
      <c r="I144" s="16">
        <f>VLOOKUP($A$142,'集計'!$A$4:$EP$61,32,FALSE)</f>
        <v>137.8</v>
      </c>
      <c r="J144" s="15">
        <f>VLOOKUP($A$142,'集計'!$A$4:$EP$61,36,FALSE)</f>
        <v>2</v>
      </c>
      <c r="K144" s="16">
        <f>VLOOKUP($A$142,'集計'!$A$4:$EP$61,40,FALSE)</f>
        <v>58.3</v>
      </c>
      <c r="L144" s="15">
        <f>VLOOKUP($A$142,'集計'!$A$4:$EP$61,44,FALSE)</f>
        <v>1</v>
      </c>
      <c r="M144" s="16">
        <f>VLOOKUP($A$142,'集計'!$A$4:$EP$61,48,FALSE)</f>
        <v>16.7</v>
      </c>
      <c r="N144" s="15">
        <f>VLOOKUP($A$142,'集計'!$A$4:$EP$61,52,FALSE)</f>
        <v>3</v>
      </c>
      <c r="O144" s="16">
        <f>VLOOKUP($A$142,'集計'!$A$4:$EP$61,56,FALSE)</f>
        <v>4.4</v>
      </c>
      <c r="P144" s="15">
        <f>VLOOKUP($A$142,'集計'!$A$4:$EP$61,60,FALSE)</f>
        <v>0</v>
      </c>
      <c r="Q144" s="16">
        <f>VLOOKUP($A$142,'集計'!$A$4:$EP$61,64,FALSE)</f>
        <v>0</v>
      </c>
      <c r="R144" s="15">
        <f>VLOOKUP($A$142,'集計'!$A$4:$EP$61,68,FALSE)</f>
        <v>387</v>
      </c>
      <c r="S144" s="16">
        <f>VLOOKUP($A$142,'集計'!$A$4:$EP$61,72,FALSE)</f>
        <v>416.5</v>
      </c>
      <c r="T144" s="32" t="s">
        <v>23</v>
      </c>
      <c r="U144" s="15">
        <f>VLOOKUP($A$142,'集計'!$A$4:$EP$61,76,FALSE)</f>
        <v>288</v>
      </c>
      <c r="V144" s="16">
        <f>VLOOKUP($A$142,'集計'!$A$4:$EP$61,80,FALSE)</f>
        <v>72.74</v>
      </c>
      <c r="W144" s="15">
        <f>VLOOKUP($A$142,'集計'!$A$4:$EP$61,84,FALSE)</f>
        <v>38</v>
      </c>
      <c r="X144" s="16">
        <f>VLOOKUP($A$142,'集計'!$A$4:$EP$61,88,FALSE)</f>
        <v>63.2</v>
      </c>
      <c r="Y144" s="15">
        <f>VLOOKUP($A$142,'集計'!$A$4:$EP$61,92,FALSE)</f>
        <v>5</v>
      </c>
      <c r="Z144" s="16">
        <f>VLOOKUP($A$142,'集計'!$A$4:$EP$61,96,FALSE)</f>
        <v>17.5</v>
      </c>
      <c r="AA144" s="15">
        <f>VLOOKUP($A$142,'集計'!$A$4:$EP$61,100,FALSE)</f>
        <v>4</v>
      </c>
      <c r="AB144" s="16">
        <f>VLOOKUP($A$142,'集計'!$A$4:$EP$61,104,FALSE)</f>
        <v>76.3</v>
      </c>
      <c r="AC144" s="15">
        <f>VLOOKUP($A$142,'集計'!$A$4:$EP$61,108,FALSE)</f>
        <v>2</v>
      </c>
      <c r="AD144" s="16">
        <f>VLOOKUP($A$142,'集計'!$A$4:$EP$61,112,FALSE)</f>
        <v>53.7</v>
      </c>
      <c r="AE144" s="15">
        <f>VLOOKUP($A$142,'集計'!$A$4:$EP$61,116,FALSE)</f>
        <v>1</v>
      </c>
      <c r="AF144" s="16">
        <f>VLOOKUP($A$142,'集計'!$A$4:$EP$61,120,FALSE)</f>
        <v>16.7</v>
      </c>
      <c r="AG144" s="15">
        <f>VLOOKUP($A$142,'集計'!$A$4:$EP$61,124,FALSE)</f>
        <v>3</v>
      </c>
      <c r="AH144" s="16">
        <f>VLOOKUP($A$142,'集計'!$A$4:$EP$61,128,FALSE)</f>
        <v>4.2</v>
      </c>
      <c r="AI144" s="15">
        <f>VLOOKUP($A$142,'集計'!$A$4:$EP$61,132,FALSE)</f>
        <v>0</v>
      </c>
      <c r="AJ144" s="16">
        <f>VLOOKUP($A$142,'集計'!$A$4:$EP$61,136,FALSE)</f>
        <v>0</v>
      </c>
      <c r="AK144" s="15">
        <f>VLOOKUP($A$142,'集計'!$A$4:$EP$61,140,FALSE)</f>
        <v>341</v>
      </c>
      <c r="AL144" s="16">
        <f>VLOOKUP($A$142,'集計'!$A$4:$EP$61,144,FALSE)</f>
        <v>304.34</v>
      </c>
    </row>
    <row r="145" spans="1:38" ht="13.5">
      <c r="A145" s="32" t="s">
        <v>24</v>
      </c>
      <c r="B145" s="15">
        <f>VLOOKUP($A$142,'集計'!$A$4:$EP$61,5,FALSE)</f>
        <v>125</v>
      </c>
      <c r="C145" s="16">
        <f>VLOOKUP($A$142,'集計'!$A$4:$EP$61,9,FALSE)</f>
        <v>37.82</v>
      </c>
      <c r="D145" s="15">
        <f>VLOOKUP($A$142,'集計'!$A$4:$EP$61,13,FALSE)</f>
        <v>17</v>
      </c>
      <c r="E145" s="16">
        <f>VLOOKUP($A$142,'集計'!$A$4:$EP$61,17,FALSE)</f>
        <v>35.8</v>
      </c>
      <c r="F145" s="15">
        <f>VLOOKUP($A$142,'集計'!$A$4:$EP$61,21,FALSE)</f>
        <v>19</v>
      </c>
      <c r="G145" s="16">
        <f>VLOOKUP($A$142,'集計'!$A$4:$EP$61,25,FALSE)</f>
        <v>117.7</v>
      </c>
      <c r="H145" s="15">
        <f>VLOOKUP($A$142,'集計'!$A$4:$EP$61,29,FALSE)</f>
        <v>21</v>
      </c>
      <c r="I145" s="16">
        <f>VLOOKUP($A$142,'集計'!$A$4:$EP$61,33,FALSE)</f>
        <v>468.9</v>
      </c>
      <c r="J145" s="15">
        <f>VLOOKUP($A$142,'集計'!$A$4:$EP$61,37,FALSE)</f>
        <v>15</v>
      </c>
      <c r="K145" s="16">
        <f>VLOOKUP($A$142,'集計'!$A$4:$EP$61,41,FALSE)</f>
        <v>335.3</v>
      </c>
      <c r="L145" s="15">
        <f>VLOOKUP($A$142,'集計'!$A$4:$EP$61,45,FALSE)</f>
        <v>2</v>
      </c>
      <c r="M145" s="16">
        <f>VLOOKUP($A$142,'集計'!$A$4:$EP$61,49,FALSE)</f>
        <v>17.8</v>
      </c>
      <c r="N145" s="15">
        <f>VLOOKUP($A$142,'集計'!$A$4:$EP$61,53,FALSE)</f>
        <v>6</v>
      </c>
      <c r="O145" s="16">
        <f>VLOOKUP($A$142,'集計'!$A$4:$EP$61,57,FALSE)</f>
        <v>29.1</v>
      </c>
      <c r="P145" s="15">
        <f>VLOOKUP($A$142,'集計'!$A$4:$EP$61,61,FALSE)</f>
        <v>6</v>
      </c>
      <c r="Q145" s="16">
        <f>VLOOKUP($A$142,'集計'!$A$4:$EP$61,65,FALSE)</f>
        <v>814</v>
      </c>
      <c r="R145" s="15">
        <f>VLOOKUP($A$142,'集計'!$A$4:$EP$61,69,FALSE)</f>
        <v>211</v>
      </c>
      <c r="S145" s="16">
        <f>VLOOKUP($A$142,'集計'!$A$4:$EP$61,73,FALSE)</f>
        <v>1856.42</v>
      </c>
      <c r="T145" s="32" t="s">
        <v>24</v>
      </c>
      <c r="U145" s="15">
        <f>VLOOKUP($A$142,'集計'!$A$4:$EP$61,77,FALSE)</f>
        <v>120</v>
      </c>
      <c r="V145" s="16">
        <f>VLOOKUP($A$142,'集計'!$A$4:$EP$61,81,FALSE)</f>
        <v>36.49</v>
      </c>
      <c r="W145" s="15">
        <f>VLOOKUP($A$142,'集計'!$A$4:$EP$61,85,FALSE)</f>
        <v>14</v>
      </c>
      <c r="X145" s="16">
        <f>VLOOKUP($A$142,'集計'!$A$4:$EP$61,89,FALSE)</f>
        <v>27.3</v>
      </c>
      <c r="Y145" s="15">
        <f>VLOOKUP($A$142,'集計'!$A$4:$EP$61,93,FALSE)</f>
        <v>16</v>
      </c>
      <c r="Z145" s="16">
        <f>VLOOKUP($A$142,'集計'!$A$4:$EP$61,97,FALSE)</f>
        <v>89.9</v>
      </c>
      <c r="AA145" s="15">
        <f>VLOOKUP($A$142,'集計'!$A$4:$EP$61,101,FALSE)</f>
        <v>19</v>
      </c>
      <c r="AB145" s="16">
        <f>VLOOKUP($A$142,'集計'!$A$4:$EP$61,105,FALSE)</f>
        <v>292.8</v>
      </c>
      <c r="AC145" s="15">
        <f>VLOOKUP($A$142,'集計'!$A$4:$EP$61,109,FALSE)</f>
        <v>15</v>
      </c>
      <c r="AD145" s="16">
        <f>VLOOKUP($A$142,'集計'!$A$4:$EP$61,113,FALSE)</f>
        <v>242.9</v>
      </c>
      <c r="AE145" s="15">
        <f>VLOOKUP($A$142,'集計'!$A$4:$EP$61,117,FALSE)</f>
        <v>2</v>
      </c>
      <c r="AF145" s="16">
        <f>VLOOKUP($A$142,'集計'!$A$4:$EP$61,121,FALSE)</f>
        <v>14.4</v>
      </c>
      <c r="AG145" s="15">
        <f>VLOOKUP($A$142,'集計'!$A$4:$EP$61,125,FALSE)</f>
        <v>6</v>
      </c>
      <c r="AH145" s="16">
        <f>VLOOKUP($A$142,'集計'!$A$4:$EP$61,129,FALSE)</f>
        <v>27.2</v>
      </c>
      <c r="AI145" s="15">
        <f>VLOOKUP($A$142,'集計'!$A$4:$EP$61,133,FALSE)</f>
        <v>5</v>
      </c>
      <c r="AJ145" s="16">
        <f>VLOOKUP($A$142,'集計'!$A$4:$EP$61,137,FALSE)</f>
        <v>493.4</v>
      </c>
      <c r="AK145" s="15">
        <f>VLOOKUP($A$142,'集計'!$A$4:$EP$61,141,FALSE)</f>
        <v>197</v>
      </c>
      <c r="AL145" s="16">
        <f>VLOOKUP($A$142,'集計'!$A$4:$EP$61,145,FALSE)</f>
        <v>1224.39</v>
      </c>
    </row>
    <row r="146" spans="1:38" ht="13.5">
      <c r="A146" s="32" t="s">
        <v>47</v>
      </c>
      <c r="B146" s="15">
        <f>VLOOKUP($A$146,'集計'!$A$4:$EP$61,6,FALSE)</f>
        <v>484</v>
      </c>
      <c r="C146" s="16">
        <f>VLOOKUP($A$146,'集計'!$A$4:$EP$61,10,FALSE)</f>
        <v>89.58</v>
      </c>
      <c r="D146" s="15">
        <f>VLOOKUP($A$146,'集計'!$A$4:$EP$61,14,FALSE)</f>
        <v>55</v>
      </c>
      <c r="E146" s="16">
        <f>VLOOKUP($A$146,'集計'!$A$4:$EP$61,18,FALSE)</f>
        <v>91.7</v>
      </c>
      <c r="F146" s="15">
        <f>VLOOKUP($A$146,'集計'!$A$4:$EP$61,22,FALSE)</f>
        <v>21</v>
      </c>
      <c r="G146" s="16">
        <f>VLOOKUP($A$146,'集計'!$A$4:$EP$61,26,FALSE)</f>
        <v>143.3</v>
      </c>
      <c r="H146" s="15">
        <f>VLOOKUP($A$146,'集計'!$A$4:$EP$61,30,FALSE)</f>
        <v>25</v>
      </c>
      <c r="I146" s="16">
        <f>VLOOKUP($A$146,'集計'!$A$4:$EP$61,34,FALSE)</f>
        <v>560.9</v>
      </c>
      <c r="J146" s="15">
        <f>VLOOKUP($A$146,'集計'!$A$4:$EP$61,38,FALSE)</f>
        <v>11</v>
      </c>
      <c r="K146" s="16">
        <f>VLOOKUP($A$146,'集計'!$A$4:$EP$61,42,FALSE)</f>
        <v>226.8</v>
      </c>
      <c r="L146" s="15">
        <f>VLOOKUP($A$146,'集計'!$A$4:$EP$61,46,FALSE)</f>
        <v>3</v>
      </c>
      <c r="M146" s="16">
        <f>VLOOKUP($A$146,'集計'!$A$4:$EP$61,50,FALSE)</f>
        <v>12.1</v>
      </c>
      <c r="N146" s="15">
        <f>VLOOKUP($A$146,'集計'!$A$4:$EP$61,54,FALSE)</f>
        <v>1</v>
      </c>
      <c r="O146" s="16">
        <f>VLOOKUP($A$146,'集計'!$A$4:$EP$61,58,FALSE)</f>
        <v>3.8</v>
      </c>
      <c r="P146" s="15">
        <f>VLOOKUP($A$146,'集計'!$A$4:$EP$61,62,FALSE)</f>
        <v>2</v>
      </c>
      <c r="Q146" s="16">
        <f>VLOOKUP($A$146,'集計'!$A$4:$EP$61,66,FALSE)</f>
        <v>653.7</v>
      </c>
      <c r="R146" s="15">
        <f>VLOOKUP($A$146,'集計'!$A$4:$EP$61,70,FALSE)</f>
        <v>602</v>
      </c>
      <c r="S146" s="16">
        <f>VLOOKUP($A$146,'集計'!$A$4:$EP$61,74,FALSE)</f>
        <v>1781.88</v>
      </c>
      <c r="T146" s="32" t="s">
        <v>47</v>
      </c>
      <c r="U146" s="15">
        <f>VLOOKUP($A$146,'集計'!$A$4:$EP$61,78,FALSE)</f>
        <v>476</v>
      </c>
      <c r="V146" s="16">
        <f>VLOOKUP($A$146,'集計'!$A$4:$EP$61,82,FALSE)</f>
        <v>86.3</v>
      </c>
      <c r="W146" s="15">
        <f>VLOOKUP($A$146,'集計'!$A$4:$EP$61,86,FALSE)</f>
        <v>53</v>
      </c>
      <c r="X146" s="16">
        <f>VLOOKUP($A$146,'集計'!$A$4:$EP$61,90,FALSE)</f>
        <v>85.1</v>
      </c>
      <c r="Y146" s="15">
        <f>VLOOKUP($A$146,'集計'!$A$4:$EP$61,94,FALSE)</f>
        <v>19</v>
      </c>
      <c r="Z146" s="16">
        <f>VLOOKUP($A$146,'集計'!$A$4:$EP$61,98,FALSE)</f>
        <v>113.3</v>
      </c>
      <c r="AA146" s="15">
        <f>VLOOKUP($A$146,'集計'!$A$4:$EP$61,102,FALSE)</f>
        <v>22</v>
      </c>
      <c r="AB146" s="16">
        <f>VLOOKUP($A$146,'集計'!$A$4:$EP$61,106,FALSE)</f>
        <v>394.1</v>
      </c>
      <c r="AC146" s="15">
        <f>VLOOKUP($A$146,'集計'!$A$4:$EP$61,110,FALSE)</f>
        <v>11</v>
      </c>
      <c r="AD146" s="16">
        <f>VLOOKUP($A$146,'集計'!$A$4:$EP$61,114,FALSE)</f>
        <v>151.5</v>
      </c>
      <c r="AE146" s="15">
        <f>VLOOKUP($A$146,'集計'!$A$4:$EP$61,118,FALSE)</f>
        <v>3</v>
      </c>
      <c r="AF146" s="16">
        <f>VLOOKUP($A$146,'集計'!$A$4:$EP$61,122,FALSE)</f>
        <v>8.4</v>
      </c>
      <c r="AG146" s="15">
        <f>VLOOKUP($A$146,'集計'!$A$4:$EP$61,126,FALSE)</f>
        <v>1</v>
      </c>
      <c r="AH146" s="16">
        <f>VLOOKUP($A$146,'集計'!$A$4:$EP$61,130,FALSE)</f>
        <v>3.8</v>
      </c>
      <c r="AI146" s="15">
        <f>VLOOKUP($A$146,'集計'!$A$4:$EP$61,134,FALSE)</f>
        <v>2</v>
      </c>
      <c r="AJ146" s="16">
        <f>VLOOKUP($A$146,'集計'!$A$4:$EP$61,138,FALSE)</f>
        <v>96.9</v>
      </c>
      <c r="AK146" s="15">
        <f>VLOOKUP($A$146,'集計'!$A$4:$EP$61,142,FALSE)</f>
        <v>587</v>
      </c>
      <c r="AL146" s="16">
        <f>VLOOKUP($A$146,'集計'!$A$4:$EP$61,146,FALSE)</f>
        <v>939.4</v>
      </c>
    </row>
    <row r="147" spans="1:38" ht="13.5">
      <c r="A147" s="32" t="s">
        <v>22</v>
      </c>
      <c r="B147" s="15">
        <f>VLOOKUP($A$146,'集計'!$A$4:$EP$61,3,FALSE)</f>
        <v>309</v>
      </c>
      <c r="C147" s="16">
        <f>VLOOKUP($A$146,'集計'!$A$4:$EP$61,7,FALSE)</f>
        <v>57.04</v>
      </c>
      <c r="D147" s="15">
        <f>VLOOKUP($A$146,'集計'!$A$4:$EP$61,11,FALSE)</f>
        <v>30</v>
      </c>
      <c r="E147" s="16">
        <f>VLOOKUP($A$146,'集計'!$A$4:$EP$61,15,FALSE)</f>
        <v>51.7</v>
      </c>
      <c r="F147" s="15">
        <f>VLOOKUP($A$146,'集計'!$A$4:$EP$61,19,FALSE)</f>
        <v>8</v>
      </c>
      <c r="G147" s="16">
        <f>VLOOKUP($A$146,'集計'!$A$4:$EP$61,23,FALSE)</f>
        <v>58.3</v>
      </c>
      <c r="H147" s="15">
        <f>VLOOKUP($A$146,'集計'!$A$4:$EP$61,27,FALSE)</f>
        <v>5</v>
      </c>
      <c r="I147" s="16">
        <f>VLOOKUP($A$146,'集計'!$A$4:$EP$61,31,FALSE)</f>
        <v>48.2</v>
      </c>
      <c r="J147" s="15">
        <f>VLOOKUP($A$146,'集計'!$A$4:$EP$61,35,FALSE)</f>
        <v>3</v>
      </c>
      <c r="K147" s="16">
        <f>VLOOKUP($A$146,'集計'!$A$4:$EP$61,39,FALSE)</f>
        <v>29.1</v>
      </c>
      <c r="L147" s="15">
        <f>VLOOKUP($A$146,'集計'!$A$4:$EP$61,43,FALSE)</f>
        <v>0</v>
      </c>
      <c r="M147" s="16">
        <f>VLOOKUP($A$146,'集計'!$A$4:$EP$61,47,FALSE)</f>
        <v>0</v>
      </c>
      <c r="N147" s="15">
        <f>VLOOKUP($A$146,'集計'!$A$4:$EP$61,51,FALSE)</f>
        <v>1</v>
      </c>
      <c r="O147" s="16">
        <f>VLOOKUP($A$146,'集計'!$A$4:$EP$61,55,FALSE)</f>
        <v>3.8</v>
      </c>
      <c r="P147" s="15">
        <f>VLOOKUP($A$146,'集計'!$A$4:$EP$61,59,FALSE)</f>
        <v>0</v>
      </c>
      <c r="Q147" s="16">
        <f>VLOOKUP($A$146,'集計'!$A$4:$EP$61,63,FALSE)</f>
        <v>0</v>
      </c>
      <c r="R147" s="15">
        <f>VLOOKUP($A$146,'集計'!$A$4:$EP$61,67,FALSE)</f>
        <v>356</v>
      </c>
      <c r="S147" s="16">
        <f>VLOOKUP($A$146,'集計'!$A$4:$EP$61,71,FALSE)</f>
        <v>248.14</v>
      </c>
      <c r="T147" s="32" t="s">
        <v>22</v>
      </c>
      <c r="U147" s="15">
        <f>VLOOKUP($A$146,'集計'!$A$4:$EP$61,75,FALSE)</f>
        <v>303</v>
      </c>
      <c r="V147" s="16">
        <f>VLOOKUP($A$146,'集計'!$A$4:$EP$61,79,FALSE)</f>
        <v>54.45</v>
      </c>
      <c r="W147" s="15">
        <f>VLOOKUP($A$146,'集計'!$A$4:$EP$61,83,FALSE)</f>
        <v>29</v>
      </c>
      <c r="X147" s="16">
        <f>VLOOKUP($A$146,'集計'!$A$4:$EP$61,87,FALSE)</f>
        <v>48.2</v>
      </c>
      <c r="Y147" s="15">
        <f>VLOOKUP($A$146,'集計'!$A$4:$EP$61,91,FALSE)</f>
        <v>7</v>
      </c>
      <c r="Z147" s="16">
        <f>VLOOKUP($A$146,'集計'!$A$4:$EP$61,95,FALSE)</f>
        <v>40.9</v>
      </c>
      <c r="AA147" s="15">
        <f>VLOOKUP($A$146,'集計'!$A$4:$EP$61,99,FALSE)</f>
        <v>4</v>
      </c>
      <c r="AB147" s="16">
        <f>VLOOKUP($A$146,'集計'!$A$4:$EP$61,103,FALSE)</f>
        <v>31.9</v>
      </c>
      <c r="AC147" s="15">
        <f>VLOOKUP($A$146,'集計'!$A$4:$EP$61,107,FALSE)</f>
        <v>3</v>
      </c>
      <c r="AD147" s="16">
        <f>VLOOKUP($A$146,'集計'!$A$4:$EP$61,111,FALSE)</f>
        <v>27.9</v>
      </c>
      <c r="AE147" s="15">
        <f>VLOOKUP($A$146,'集計'!$A$4:$EP$61,115,FALSE)</f>
        <v>0</v>
      </c>
      <c r="AF147" s="16">
        <f>VLOOKUP($A$146,'集計'!$A$4:$EP$61,119,FALSE)</f>
        <v>0</v>
      </c>
      <c r="AG147" s="15">
        <f>VLOOKUP($A$146,'集計'!$A$4:$EP$61,123,FALSE)</f>
        <v>1</v>
      </c>
      <c r="AH147" s="16">
        <f>VLOOKUP($A$146,'集計'!$A$4:$EP$61,127,FALSE)</f>
        <v>3.8</v>
      </c>
      <c r="AI147" s="15">
        <f>VLOOKUP($A$146,'集計'!$A$4:$EP$61,131,FALSE)</f>
        <v>0</v>
      </c>
      <c r="AJ147" s="16">
        <f>VLOOKUP($A$146,'集計'!$A$4:$EP$61,135,FALSE)</f>
        <v>0</v>
      </c>
      <c r="AK147" s="15">
        <f>VLOOKUP($A$146,'集計'!$A$4:$EP$61,139,FALSE)</f>
        <v>347</v>
      </c>
      <c r="AL147" s="16">
        <f>VLOOKUP($A$146,'集計'!$A$4:$EP$61,143,FALSE)</f>
        <v>207.15</v>
      </c>
    </row>
    <row r="148" spans="1:38" ht="13.5">
      <c r="A148" s="32" t="s">
        <v>23</v>
      </c>
      <c r="B148" s="15">
        <f>VLOOKUP($A$146,'集計'!$A$4:$EP$61,4,FALSE)</f>
        <v>94</v>
      </c>
      <c r="C148" s="16">
        <f>VLOOKUP($A$146,'集計'!$A$4:$EP$61,8,FALSE)</f>
        <v>16.25</v>
      </c>
      <c r="D148" s="15">
        <f>VLOOKUP($A$146,'集計'!$A$4:$EP$61,(12),FALSE)</f>
        <v>9</v>
      </c>
      <c r="E148" s="16">
        <f>VLOOKUP($A$146,'集計'!$A$4:$EP$61,16,FALSE)</f>
        <v>15.8</v>
      </c>
      <c r="F148" s="15">
        <f>VLOOKUP($A$146,'集計'!$A$4:$EP$61,20,FALSE)</f>
        <v>6</v>
      </c>
      <c r="G148" s="16">
        <f>VLOOKUP($A$146,'集計'!$A$4:$EP$61,24,FALSE)</f>
        <v>45</v>
      </c>
      <c r="H148" s="15">
        <f>VLOOKUP($A$146,'集計'!$A$4:$EP$61,28,FALSE)</f>
        <v>9</v>
      </c>
      <c r="I148" s="16">
        <f>VLOOKUP($A$146,'集計'!$A$4:$EP$61,32,FALSE)</f>
        <v>287.1</v>
      </c>
      <c r="J148" s="15">
        <f>VLOOKUP($A$146,'集計'!$A$4:$EP$61,36,FALSE)</f>
        <v>5</v>
      </c>
      <c r="K148" s="16">
        <f>VLOOKUP($A$146,'集計'!$A$4:$EP$61,40,FALSE)</f>
        <v>103</v>
      </c>
      <c r="L148" s="15">
        <f>VLOOKUP($A$146,'集計'!$A$4:$EP$61,44,FALSE)</f>
        <v>1</v>
      </c>
      <c r="M148" s="16">
        <f>VLOOKUP($A$146,'集計'!$A$4:$EP$61,48,FALSE)</f>
        <v>0.4</v>
      </c>
      <c r="N148" s="15">
        <f>VLOOKUP($A$146,'集計'!$A$4:$EP$61,52,FALSE)</f>
        <v>0</v>
      </c>
      <c r="O148" s="16">
        <f>VLOOKUP($A$146,'集計'!$A$4:$EP$61,56,FALSE)</f>
        <v>0</v>
      </c>
      <c r="P148" s="15">
        <f>VLOOKUP($A$146,'集計'!$A$4:$EP$61,60,FALSE)</f>
        <v>0</v>
      </c>
      <c r="Q148" s="16">
        <f>VLOOKUP($A$146,'集計'!$A$4:$EP$61,64,FALSE)</f>
        <v>0</v>
      </c>
      <c r="R148" s="15">
        <f>VLOOKUP($A$146,'集計'!$A$4:$EP$61,68,FALSE)</f>
        <v>124</v>
      </c>
      <c r="S148" s="16">
        <f>VLOOKUP($A$146,'集計'!$A$4:$EP$61,72,FALSE)</f>
        <v>467.55</v>
      </c>
      <c r="T148" s="32" t="s">
        <v>23</v>
      </c>
      <c r="U148" s="15">
        <f>VLOOKUP($A$146,'集計'!$A$4:$EP$61,76,FALSE)</f>
        <v>92</v>
      </c>
      <c r="V148" s="16">
        <f>VLOOKUP($A$146,'集計'!$A$4:$EP$61,80,FALSE)</f>
        <v>15.76</v>
      </c>
      <c r="W148" s="15">
        <f>VLOOKUP($A$146,'集計'!$A$4:$EP$61,84,FALSE)</f>
        <v>9</v>
      </c>
      <c r="X148" s="16">
        <f>VLOOKUP($A$146,'集計'!$A$4:$EP$61,88,FALSE)</f>
        <v>15</v>
      </c>
      <c r="Y148" s="15">
        <f>VLOOKUP($A$146,'集計'!$A$4:$EP$61,92,FALSE)</f>
        <v>6</v>
      </c>
      <c r="Z148" s="16">
        <f>VLOOKUP($A$146,'集計'!$A$4:$EP$61,96,FALSE)</f>
        <v>40</v>
      </c>
      <c r="AA148" s="15">
        <f>VLOOKUP($A$146,'集計'!$A$4:$EP$61,100,FALSE)</f>
        <v>9</v>
      </c>
      <c r="AB148" s="16">
        <f>VLOOKUP($A$146,'集計'!$A$4:$EP$61,104,FALSE)</f>
        <v>202.7</v>
      </c>
      <c r="AC148" s="15">
        <f>VLOOKUP($A$146,'集計'!$A$4:$EP$61,108,FALSE)</f>
        <v>5</v>
      </c>
      <c r="AD148" s="16">
        <f>VLOOKUP($A$146,'集計'!$A$4:$EP$61,112,FALSE)</f>
        <v>80.9</v>
      </c>
      <c r="AE148" s="15">
        <f>VLOOKUP($A$146,'集計'!$A$4:$EP$61,116,FALSE)</f>
        <v>1</v>
      </c>
      <c r="AF148" s="16">
        <f>VLOOKUP($A$146,'集計'!$A$4:$EP$61,120,FALSE)</f>
        <v>0.4</v>
      </c>
      <c r="AG148" s="15">
        <f>VLOOKUP($A$146,'集計'!$A$4:$EP$61,124,FALSE)</f>
        <v>0</v>
      </c>
      <c r="AH148" s="16">
        <f>VLOOKUP($A$146,'集計'!$A$4:$EP$61,128,FALSE)</f>
        <v>0</v>
      </c>
      <c r="AI148" s="15">
        <f>VLOOKUP($A$146,'集計'!$A$4:$EP$61,132,FALSE)</f>
        <v>0</v>
      </c>
      <c r="AJ148" s="16">
        <f>VLOOKUP($A$146,'集計'!$A$4:$EP$61,136,FALSE)</f>
        <v>0</v>
      </c>
      <c r="AK148" s="15">
        <f>VLOOKUP($A$146,'集計'!$A$4:$EP$61,140,FALSE)</f>
        <v>122</v>
      </c>
      <c r="AL148" s="16">
        <f>VLOOKUP($A$146,'集計'!$A$4:$EP$61,144,FALSE)</f>
        <v>354.76</v>
      </c>
    </row>
    <row r="149" spans="1:38" ht="13.5">
      <c r="A149" s="32" t="s">
        <v>24</v>
      </c>
      <c r="B149" s="15">
        <f>VLOOKUP($A$146,'集計'!$A$4:$EP$61,5,FALSE)</f>
        <v>81</v>
      </c>
      <c r="C149" s="16">
        <f>VLOOKUP($A$146,'集計'!$A$4:$EP$61,9,FALSE)</f>
        <v>16.29</v>
      </c>
      <c r="D149" s="15">
        <f>VLOOKUP($A$146,'集計'!$A$4:$EP$61,13,FALSE)</f>
        <v>16</v>
      </c>
      <c r="E149" s="16">
        <f>VLOOKUP($A$146,'集計'!$A$4:$EP$61,17,FALSE)</f>
        <v>24.2</v>
      </c>
      <c r="F149" s="15">
        <f>VLOOKUP($A$146,'集計'!$A$4:$EP$61,21,FALSE)</f>
        <v>7</v>
      </c>
      <c r="G149" s="16">
        <f>VLOOKUP($A$146,'集計'!$A$4:$EP$61,25,FALSE)</f>
        <v>40</v>
      </c>
      <c r="H149" s="15">
        <f>VLOOKUP($A$146,'集計'!$A$4:$EP$61,29,FALSE)</f>
        <v>11</v>
      </c>
      <c r="I149" s="16">
        <f>VLOOKUP($A$146,'集計'!$A$4:$EP$61,33,FALSE)</f>
        <v>225.6</v>
      </c>
      <c r="J149" s="15">
        <f>VLOOKUP($A$146,'集計'!$A$4:$EP$61,37,FALSE)</f>
        <v>3</v>
      </c>
      <c r="K149" s="16">
        <f>VLOOKUP($A$146,'集計'!$A$4:$EP$61,41,FALSE)</f>
        <v>94.7</v>
      </c>
      <c r="L149" s="15">
        <f>VLOOKUP($A$146,'集計'!$A$4:$EP$61,45,FALSE)</f>
        <v>2</v>
      </c>
      <c r="M149" s="16">
        <f>VLOOKUP($A$146,'集計'!$A$4:$EP$61,49,FALSE)</f>
        <v>11.7</v>
      </c>
      <c r="N149" s="15">
        <f>VLOOKUP($A$146,'集計'!$A$4:$EP$61,53,FALSE)</f>
        <v>0</v>
      </c>
      <c r="O149" s="16">
        <f>VLOOKUP($A$146,'集計'!$A$4:$EP$61,57,FALSE)</f>
        <v>0</v>
      </c>
      <c r="P149" s="15">
        <f>VLOOKUP($A$146,'集計'!$A$4:$EP$61,61,FALSE)</f>
        <v>2</v>
      </c>
      <c r="Q149" s="16">
        <f>VLOOKUP($A$146,'集計'!$A$4:$EP$61,65,FALSE)</f>
        <v>653.7</v>
      </c>
      <c r="R149" s="15">
        <f>VLOOKUP($A$146,'集計'!$A$4:$EP$61,69,FALSE)</f>
        <v>122</v>
      </c>
      <c r="S149" s="16">
        <f>VLOOKUP($A$146,'集計'!$A$4:$EP$61,73,FALSE)</f>
        <v>1066.19</v>
      </c>
      <c r="T149" s="32" t="s">
        <v>24</v>
      </c>
      <c r="U149" s="15">
        <f>VLOOKUP($A$146,'集計'!$A$4:$EP$61,77,FALSE)</f>
        <v>81</v>
      </c>
      <c r="V149" s="16">
        <f>VLOOKUP($A$146,'集計'!$A$4:$EP$61,81,FALSE)</f>
        <v>16.09</v>
      </c>
      <c r="W149" s="15">
        <f>VLOOKUP($A$146,'集計'!$A$4:$EP$61,85,FALSE)</f>
        <v>15</v>
      </c>
      <c r="X149" s="16">
        <f>VLOOKUP($A$146,'集計'!$A$4:$EP$61,89,FALSE)</f>
        <v>21.9</v>
      </c>
      <c r="Y149" s="15">
        <f>VLOOKUP($A$146,'集計'!$A$4:$EP$61,93,FALSE)</f>
        <v>6</v>
      </c>
      <c r="Z149" s="16">
        <f>VLOOKUP($A$146,'集計'!$A$4:$EP$61,97,FALSE)</f>
        <v>32.4</v>
      </c>
      <c r="AA149" s="15">
        <f>VLOOKUP($A$146,'集計'!$A$4:$EP$61,101,FALSE)</f>
        <v>9</v>
      </c>
      <c r="AB149" s="16">
        <f>VLOOKUP($A$146,'集計'!$A$4:$EP$61,105,FALSE)</f>
        <v>159.5</v>
      </c>
      <c r="AC149" s="15">
        <f>VLOOKUP($A$146,'集計'!$A$4:$EP$61,109,FALSE)</f>
        <v>3</v>
      </c>
      <c r="AD149" s="16">
        <f>VLOOKUP($A$146,'集計'!$A$4:$EP$61,113,FALSE)</f>
        <v>42.7</v>
      </c>
      <c r="AE149" s="15">
        <f>VLOOKUP($A$146,'集計'!$A$4:$EP$61,117,FALSE)</f>
        <v>2</v>
      </c>
      <c r="AF149" s="16">
        <f>VLOOKUP($A$146,'集計'!$A$4:$EP$61,121,FALSE)</f>
        <v>8</v>
      </c>
      <c r="AG149" s="15">
        <f>VLOOKUP($A$146,'集計'!$A$4:$EP$61,125,FALSE)</f>
        <v>0</v>
      </c>
      <c r="AH149" s="16">
        <f>VLOOKUP($A$146,'集計'!$A$4:$EP$61,129,FALSE)</f>
        <v>0</v>
      </c>
      <c r="AI149" s="15">
        <f>VLOOKUP($A$146,'集計'!$A$4:$EP$61,133,FALSE)</f>
        <v>2</v>
      </c>
      <c r="AJ149" s="16">
        <f>VLOOKUP($A$146,'集計'!$A$4:$EP$61,137,FALSE)</f>
        <v>96.9</v>
      </c>
      <c r="AK149" s="15">
        <f>VLOOKUP($A$146,'集計'!$A$4:$EP$61,141,FALSE)</f>
        <v>118</v>
      </c>
      <c r="AL149" s="16">
        <f>VLOOKUP($A$146,'集計'!$A$4:$EP$61,145,FALSE)</f>
        <v>377.49</v>
      </c>
    </row>
    <row r="150" spans="1:38" ht="13.5">
      <c r="A150" s="32"/>
      <c r="B150" s="19"/>
      <c r="C150" s="20"/>
      <c r="D150" s="19"/>
      <c r="E150" s="20"/>
      <c r="F150" s="19"/>
      <c r="G150" s="20"/>
      <c r="H150" s="19"/>
      <c r="I150" s="20"/>
      <c r="J150" s="19"/>
      <c r="K150" s="20"/>
      <c r="L150" s="19"/>
      <c r="M150" s="20"/>
      <c r="N150" s="19"/>
      <c r="O150" s="20"/>
      <c r="P150" s="19"/>
      <c r="Q150" s="20"/>
      <c r="R150" s="19"/>
      <c r="S150" s="20"/>
      <c r="T150" s="32"/>
      <c r="U150" s="19"/>
      <c r="V150" s="20"/>
      <c r="W150" s="19"/>
      <c r="X150" s="20"/>
      <c r="Y150" s="19"/>
      <c r="Z150" s="20"/>
      <c r="AA150" s="19"/>
      <c r="AB150" s="20"/>
      <c r="AC150" s="19"/>
      <c r="AD150" s="20"/>
      <c r="AE150" s="19"/>
      <c r="AF150" s="20"/>
      <c r="AG150" s="19"/>
      <c r="AH150" s="20"/>
      <c r="AI150" s="19"/>
      <c r="AJ150" s="20"/>
      <c r="AK150" s="19"/>
      <c r="AL150" s="20"/>
    </row>
    <row r="151" spans="1:38" ht="13.5">
      <c r="A151" s="32" t="s">
        <v>48</v>
      </c>
      <c r="B151" s="15">
        <f>VLOOKUP($A$151,'集計'!$A$4:$EP$61,6,FALSE)</f>
        <v>442</v>
      </c>
      <c r="C151" s="16">
        <f>VLOOKUP($A$151,'集計'!$A$4:$EP$61,10,FALSE)</f>
        <v>100.16</v>
      </c>
      <c r="D151" s="15">
        <f>VLOOKUP($A$151,'集計'!$A$4:$EP$61,14,FALSE)</f>
        <v>45</v>
      </c>
      <c r="E151" s="16">
        <f>VLOOKUP($A$151,'集計'!$A$4:$EP$61,18,FALSE)</f>
        <v>73.6</v>
      </c>
      <c r="F151" s="15">
        <f>VLOOKUP($A$151,'集計'!$A$4:$EP$61,22,FALSE)</f>
        <v>11</v>
      </c>
      <c r="G151" s="16">
        <f>VLOOKUP($A$151,'集計'!$A$4:$EP$61,26,FALSE)</f>
        <v>46.6</v>
      </c>
      <c r="H151" s="15">
        <f>VLOOKUP($A$151,'集計'!$A$4:$EP$61,30,FALSE)</f>
        <v>19</v>
      </c>
      <c r="I151" s="16">
        <f>VLOOKUP($A$151,'集計'!$A$4:$EP$61,34,FALSE)</f>
        <v>763.8</v>
      </c>
      <c r="J151" s="15">
        <f>VLOOKUP($A$151,'集計'!$A$4:$EP$61,38,FALSE)</f>
        <v>9</v>
      </c>
      <c r="K151" s="16">
        <f>VLOOKUP($A$151,'集計'!$A$4:$EP$61,42,FALSE)</f>
        <v>175.7</v>
      </c>
      <c r="L151" s="15">
        <f>VLOOKUP($A$151,'集計'!$A$4:$EP$61,46,FALSE)</f>
        <v>3</v>
      </c>
      <c r="M151" s="16">
        <f>VLOOKUP($A$151,'集計'!$A$4:$EP$61,50,FALSE)</f>
        <v>25.2</v>
      </c>
      <c r="N151" s="15">
        <f>VLOOKUP($A$151,'集計'!$A$4:$EP$61,54,FALSE)</f>
        <v>2</v>
      </c>
      <c r="O151" s="16">
        <f>VLOOKUP($A$151,'集計'!$A$4:$EP$61,58,FALSE)</f>
        <v>1.1</v>
      </c>
      <c r="P151" s="15">
        <f>VLOOKUP($A$151,'集計'!$A$4:$EP$61,62,FALSE)</f>
        <v>0</v>
      </c>
      <c r="Q151" s="16">
        <f>VLOOKUP($A$151,'集計'!$A$4:$EP$61,66,FALSE)</f>
        <v>0</v>
      </c>
      <c r="R151" s="15">
        <f>VLOOKUP($A$151,'集計'!$A$4:$EP$61,70,FALSE)</f>
        <v>531</v>
      </c>
      <c r="S151" s="16">
        <f>VLOOKUP($A$151,'集計'!$A$4:$EP$61,74,FALSE)</f>
        <v>1186.16</v>
      </c>
      <c r="T151" s="32" t="s">
        <v>48</v>
      </c>
      <c r="U151" s="15">
        <f>VLOOKUP($A$151,'集計'!$A$4:$EP$61,78,FALSE)</f>
        <v>435</v>
      </c>
      <c r="V151" s="16">
        <f>VLOOKUP($A$151,'集計'!$A$4:$EP$61,82,FALSE)</f>
        <v>97.67</v>
      </c>
      <c r="W151" s="15">
        <f>VLOOKUP($A$151,'集計'!$A$4:$EP$61,86,FALSE)</f>
        <v>44</v>
      </c>
      <c r="X151" s="16">
        <f>VLOOKUP($A$151,'集計'!$A$4:$EP$61,90,FALSE)</f>
        <v>72.5</v>
      </c>
      <c r="Y151" s="15">
        <f>VLOOKUP($A$151,'集計'!$A$4:$EP$61,94,FALSE)</f>
        <v>10</v>
      </c>
      <c r="Z151" s="16">
        <f>VLOOKUP($A$151,'集計'!$A$4:$EP$61,98,FALSE)</f>
        <v>39.4</v>
      </c>
      <c r="AA151" s="15">
        <f>VLOOKUP($A$151,'集計'!$A$4:$EP$61,102,FALSE)</f>
        <v>19</v>
      </c>
      <c r="AB151" s="16">
        <f>VLOOKUP($A$151,'集計'!$A$4:$EP$61,106,FALSE)</f>
        <v>508</v>
      </c>
      <c r="AC151" s="15">
        <f>VLOOKUP($A$151,'集計'!$A$4:$EP$61,110,FALSE)</f>
        <v>9</v>
      </c>
      <c r="AD151" s="16">
        <f>VLOOKUP($A$151,'集計'!$A$4:$EP$61,114,FALSE)</f>
        <v>147.8</v>
      </c>
      <c r="AE151" s="15">
        <f>VLOOKUP($A$151,'集計'!$A$4:$EP$61,118,FALSE)</f>
        <v>3</v>
      </c>
      <c r="AF151" s="16">
        <f>VLOOKUP($A$151,'集計'!$A$4:$EP$61,122,FALSE)</f>
        <v>24.8</v>
      </c>
      <c r="AG151" s="15">
        <f>VLOOKUP($A$151,'集計'!$A$4:$EP$61,126,FALSE)</f>
        <v>2</v>
      </c>
      <c r="AH151" s="16">
        <f>VLOOKUP($A$151,'集計'!$A$4:$EP$61,130,FALSE)</f>
        <v>1.1</v>
      </c>
      <c r="AI151" s="15">
        <f>VLOOKUP($A$151,'集計'!$A$4:$EP$61,134,FALSE)</f>
        <v>0</v>
      </c>
      <c r="AJ151" s="16">
        <f>VLOOKUP($A$151,'集計'!$A$4:$EP$61,138,FALSE)</f>
        <v>0</v>
      </c>
      <c r="AK151" s="15">
        <f>VLOOKUP($A$151,'集計'!$A$4:$EP$61,142,FALSE)</f>
        <v>522</v>
      </c>
      <c r="AL151" s="16">
        <f>VLOOKUP($A$151,'集計'!$A$4:$EP$61,146,FALSE)</f>
        <v>891.27</v>
      </c>
    </row>
    <row r="152" spans="1:38" ht="13.5">
      <c r="A152" s="32" t="s">
        <v>22</v>
      </c>
      <c r="B152" s="15">
        <f>VLOOKUP($A$151,'集計'!$A$4:$EP$61,3,FALSE)</f>
        <v>307</v>
      </c>
      <c r="C152" s="16">
        <f>VLOOKUP($A$151,'集計'!$A$4:$EP$61,7,FALSE)</f>
        <v>70.47</v>
      </c>
      <c r="D152" s="15">
        <f>VLOOKUP($A$151,'集計'!$A$4:$EP$61,11,FALSE)</f>
        <v>23</v>
      </c>
      <c r="E152" s="16">
        <f>VLOOKUP($A$151,'集計'!$A$4:$EP$61,15,FALSE)</f>
        <v>40.1</v>
      </c>
      <c r="F152" s="15">
        <f>VLOOKUP($A$151,'集計'!$A$4:$EP$61,19,FALSE)</f>
        <v>3</v>
      </c>
      <c r="G152" s="16">
        <f>VLOOKUP($A$151,'集計'!$A$4:$EP$61,23,FALSE)</f>
        <v>12.4</v>
      </c>
      <c r="H152" s="15">
        <f>VLOOKUP($A$151,'集計'!$A$4:$EP$61,27,FALSE)</f>
        <v>3</v>
      </c>
      <c r="I152" s="16">
        <f>VLOOKUP($A$151,'集計'!$A$4:$EP$61,31,FALSE)</f>
        <v>216.7</v>
      </c>
      <c r="J152" s="15">
        <f>VLOOKUP($A$151,'集計'!$A$4:$EP$61,35,FALSE)</f>
        <v>4</v>
      </c>
      <c r="K152" s="16">
        <f>VLOOKUP($A$151,'集計'!$A$4:$EP$61,39,FALSE)</f>
        <v>65.4</v>
      </c>
      <c r="L152" s="15">
        <f>VLOOKUP($A$151,'集計'!$A$4:$EP$61,43,FALSE)</f>
        <v>0</v>
      </c>
      <c r="M152" s="16">
        <f>VLOOKUP($A$151,'集計'!$A$4:$EP$61,47,FALSE)</f>
        <v>0</v>
      </c>
      <c r="N152" s="15">
        <f>VLOOKUP($A$151,'集計'!$A$4:$EP$61,51,FALSE)</f>
        <v>2</v>
      </c>
      <c r="O152" s="16">
        <f>VLOOKUP($A$151,'集計'!$A$4:$EP$61,55,FALSE)</f>
        <v>1.1</v>
      </c>
      <c r="P152" s="15">
        <f>VLOOKUP($A$151,'集計'!$A$4:$EP$61,59,FALSE)</f>
        <v>0</v>
      </c>
      <c r="Q152" s="16">
        <f>VLOOKUP($A$151,'集計'!$A$4:$EP$61,63,FALSE)</f>
        <v>0</v>
      </c>
      <c r="R152" s="15">
        <f>VLOOKUP($A$151,'集計'!$A$4:$EP$61,67,FALSE)</f>
        <v>342</v>
      </c>
      <c r="S152" s="16">
        <f>VLOOKUP($A$151,'集計'!$A$4:$EP$61,71,FALSE)</f>
        <v>406.17</v>
      </c>
      <c r="T152" s="32" t="s">
        <v>22</v>
      </c>
      <c r="U152" s="15">
        <f>VLOOKUP($A$151,'集計'!$A$4:$EP$61,75,FALSE)</f>
        <v>301</v>
      </c>
      <c r="V152" s="16">
        <f>VLOOKUP($A$151,'集計'!$A$4:$EP$61,79,FALSE)</f>
        <v>68.78</v>
      </c>
      <c r="W152" s="15">
        <f>VLOOKUP($A$151,'集計'!$A$4:$EP$61,83,FALSE)</f>
        <v>23</v>
      </c>
      <c r="X152" s="16">
        <f>VLOOKUP($A$151,'集計'!$A$4:$EP$61,87,FALSE)</f>
        <v>40.1</v>
      </c>
      <c r="Y152" s="15">
        <f>VLOOKUP($A$151,'集計'!$A$4:$EP$61,91,FALSE)</f>
        <v>3</v>
      </c>
      <c r="Z152" s="16">
        <f>VLOOKUP($A$151,'集計'!$A$4:$EP$61,95,FALSE)</f>
        <v>12.1</v>
      </c>
      <c r="AA152" s="15">
        <f>VLOOKUP($A$151,'集計'!$A$4:$EP$61,99,FALSE)</f>
        <v>3</v>
      </c>
      <c r="AB152" s="16">
        <f>VLOOKUP($A$151,'集計'!$A$4:$EP$61,103,FALSE)</f>
        <v>134.4</v>
      </c>
      <c r="AC152" s="15">
        <f>VLOOKUP($A$151,'集計'!$A$4:$EP$61,107,FALSE)</f>
        <v>4</v>
      </c>
      <c r="AD152" s="16">
        <f>VLOOKUP($A$151,'集計'!$A$4:$EP$61,111,FALSE)</f>
        <v>65.5</v>
      </c>
      <c r="AE152" s="15">
        <f>VLOOKUP($A$151,'集計'!$A$4:$EP$61,115,FALSE)</f>
        <v>0</v>
      </c>
      <c r="AF152" s="16">
        <f>VLOOKUP($A$151,'集計'!$A$4:$EP$61,119,FALSE)</f>
        <v>0</v>
      </c>
      <c r="AG152" s="15">
        <f>VLOOKUP($A$151,'集計'!$A$4:$EP$61,123,FALSE)</f>
        <v>2</v>
      </c>
      <c r="AH152" s="16">
        <f>VLOOKUP($A$151,'集計'!$A$4:$EP$61,127,FALSE)</f>
        <v>1.1</v>
      </c>
      <c r="AI152" s="15">
        <f>VLOOKUP($A$151,'集計'!$A$4:$EP$61,131,FALSE)</f>
        <v>0</v>
      </c>
      <c r="AJ152" s="16">
        <f>VLOOKUP($A$151,'集計'!$A$4:$EP$61,135,FALSE)</f>
        <v>0</v>
      </c>
      <c r="AK152" s="15">
        <f>VLOOKUP($A$151,'集計'!$A$4:$EP$61,139,FALSE)</f>
        <v>336</v>
      </c>
      <c r="AL152" s="16">
        <f>VLOOKUP($A$151,'集計'!$A$4:$EP$61,143,FALSE)</f>
        <v>321.98</v>
      </c>
    </row>
    <row r="153" spans="1:38" ht="13.5">
      <c r="A153" s="32" t="s">
        <v>23</v>
      </c>
      <c r="B153" s="15">
        <f>VLOOKUP($A$151,'集計'!$A$4:$EP$61,4,FALSE)</f>
        <v>105</v>
      </c>
      <c r="C153" s="16">
        <f>VLOOKUP($A$151,'集計'!$A$4:$EP$61,8,FALSE)</f>
        <v>25.24</v>
      </c>
      <c r="D153" s="15">
        <f>VLOOKUP($A$151,'集計'!$A$4:$EP$61,(12),FALSE)</f>
        <v>18</v>
      </c>
      <c r="E153" s="16">
        <f>VLOOKUP($A$151,'集計'!$A$4:$EP$61,16,FALSE)</f>
        <v>26.5</v>
      </c>
      <c r="F153" s="15">
        <f>VLOOKUP($A$151,'集計'!$A$4:$EP$61,20,FALSE)</f>
        <v>8</v>
      </c>
      <c r="G153" s="16">
        <f>VLOOKUP($A$151,'集計'!$A$4:$EP$61,24,FALSE)</f>
        <v>34.2</v>
      </c>
      <c r="H153" s="15">
        <f>VLOOKUP($A$151,'集計'!$A$4:$EP$61,28,FALSE)</f>
        <v>2</v>
      </c>
      <c r="I153" s="16">
        <f>VLOOKUP($A$151,'集計'!$A$4:$EP$61,32,FALSE)</f>
        <v>79.6</v>
      </c>
      <c r="J153" s="15">
        <f>VLOOKUP($A$151,'集計'!$A$4:$EP$61,36,FALSE)</f>
        <v>3</v>
      </c>
      <c r="K153" s="16">
        <f>VLOOKUP($A$151,'集計'!$A$4:$EP$61,40,FALSE)</f>
        <v>43.4</v>
      </c>
      <c r="L153" s="15">
        <f>VLOOKUP($A$151,'集計'!$A$4:$EP$61,44,FALSE)</f>
        <v>2</v>
      </c>
      <c r="M153" s="16">
        <f>VLOOKUP($A$151,'集計'!$A$4:$EP$61,48,FALSE)</f>
        <v>21</v>
      </c>
      <c r="N153" s="15">
        <f>VLOOKUP($A$151,'集計'!$A$4:$EP$61,52,FALSE)</f>
        <v>0</v>
      </c>
      <c r="O153" s="16">
        <f>VLOOKUP($A$151,'集計'!$A$4:$EP$61,56,FALSE)</f>
        <v>0</v>
      </c>
      <c r="P153" s="15">
        <f>VLOOKUP($A$151,'集計'!$A$4:$EP$61,60,FALSE)</f>
        <v>0</v>
      </c>
      <c r="Q153" s="16">
        <f>VLOOKUP($A$151,'集計'!$A$4:$EP$61,64,FALSE)</f>
        <v>0</v>
      </c>
      <c r="R153" s="15">
        <f>VLOOKUP($A$151,'集計'!$A$4:$EP$61,68,FALSE)</f>
        <v>138</v>
      </c>
      <c r="S153" s="16">
        <f>VLOOKUP($A$151,'集計'!$A$4:$EP$61,72,FALSE)</f>
        <v>229.94</v>
      </c>
      <c r="T153" s="32" t="s">
        <v>23</v>
      </c>
      <c r="U153" s="15">
        <f>VLOOKUP($A$151,'集計'!$A$4:$EP$61,76,FALSE)</f>
        <v>104</v>
      </c>
      <c r="V153" s="16">
        <f>VLOOKUP($A$151,'集計'!$A$4:$EP$61,80,FALSE)</f>
        <v>24.44</v>
      </c>
      <c r="W153" s="15">
        <f>VLOOKUP($A$151,'集計'!$A$4:$EP$61,84,FALSE)</f>
        <v>17</v>
      </c>
      <c r="X153" s="16">
        <f>VLOOKUP($A$151,'集計'!$A$4:$EP$61,88,FALSE)</f>
        <v>25.4</v>
      </c>
      <c r="Y153" s="15">
        <f>VLOOKUP($A$151,'集計'!$A$4:$EP$61,92,FALSE)</f>
        <v>7</v>
      </c>
      <c r="Z153" s="16">
        <f>VLOOKUP($A$151,'集計'!$A$4:$EP$61,96,FALSE)</f>
        <v>27.3</v>
      </c>
      <c r="AA153" s="15">
        <f>VLOOKUP($A$151,'集計'!$A$4:$EP$61,100,FALSE)</f>
        <v>2</v>
      </c>
      <c r="AB153" s="16">
        <f>VLOOKUP($A$151,'集計'!$A$4:$EP$61,104,FALSE)</f>
        <v>65.2</v>
      </c>
      <c r="AC153" s="15">
        <f>VLOOKUP($A$151,'集計'!$A$4:$EP$61,108,FALSE)</f>
        <v>3</v>
      </c>
      <c r="AD153" s="16">
        <f>VLOOKUP($A$151,'集計'!$A$4:$EP$61,112,FALSE)</f>
        <v>43.4</v>
      </c>
      <c r="AE153" s="15">
        <f>VLOOKUP($A$151,'集計'!$A$4:$EP$61,116,FALSE)</f>
        <v>2</v>
      </c>
      <c r="AF153" s="16">
        <f>VLOOKUP($A$151,'集計'!$A$4:$EP$61,120,FALSE)</f>
        <v>20.6</v>
      </c>
      <c r="AG153" s="15">
        <f>VLOOKUP($A$151,'集計'!$A$4:$EP$61,124,FALSE)</f>
        <v>0</v>
      </c>
      <c r="AH153" s="16">
        <f>VLOOKUP($A$151,'集計'!$A$4:$EP$61,128,FALSE)</f>
        <v>0</v>
      </c>
      <c r="AI153" s="15">
        <f>VLOOKUP($A$151,'集計'!$A$4:$EP$61,132,FALSE)</f>
        <v>0</v>
      </c>
      <c r="AJ153" s="16">
        <f>VLOOKUP($A$151,'集計'!$A$4:$EP$61,136,FALSE)</f>
        <v>0</v>
      </c>
      <c r="AK153" s="15">
        <f>VLOOKUP($A$151,'集計'!$A$4:$EP$61,140,FALSE)</f>
        <v>135</v>
      </c>
      <c r="AL153" s="16">
        <f>VLOOKUP($A$151,'集計'!$A$4:$EP$61,144,FALSE)</f>
        <v>206.34</v>
      </c>
    </row>
    <row r="154" spans="1:38" ht="13.5">
      <c r="A154" s="32" t="s">
        <v>24</v>
      </c>
      <c r="B154" s="15">
        <f>VLOOKUP($A$151,'集計'!$A$4:$EP$61,5,FALSE)</f>
        <v>30</v>
      </c>
      <c r="C154" s="16">
        <f>VLOOKUP($A$151,'集計'!$A$4:$EP$61,9,FALSE)</f>
        <v>4.45</v>
      </c>
      <c r="D154" s="15">
        <f>VLOOKUP($A$151,'集計'!$A$4:$EP$61,13,FALSE)</f>
        <v>4</v>
      </c>
      <c r="E154" s="16">
        <f>VLOOKUP($A$151,'集計'!$A$4:$EP$61,17,FALSE)</f>
        <v>7</v>
      </c>
      <c r="F154" s="15">
        <f>VLOOKUP($A$151,'集計'!$A$4:$EP$61,21,FALSE)</f>
        <v>0</v>
      </c>
      <c r="G154" s="16">
        <f>VLOOKUP($A$151,'集計'!$A$4:$EP$61,25,FALSE)</f>
        <v>0</v>
      </c>
      <c r="H154" s="15">
        <f>VLOOKUP($A$151,'集計'!$A$4:$EP$61,29,FALSE)</f>
        <v>14</v>
      </c>
      <c r="I154" s="16">
        <f>VLOOKUP($A$151,'集計'!$A$4:$EP$61,33,FALSE)</f>
        <v>467.5</v>
      </c>
      <c r="J154" s="15">
        <f>VLOOKUP($A$151,'集計'!$A$4:$EP$61,37,FALSE)</f>
        <v>2</v>
      </c>
      <c r="K154" s="16">
        <f>VLOOKUP($A$151,'集計'!$A$4:$EP$61,41,FALSE)</f>
        <v>66.9</v>
      </c>
      <c r="L154" s="15">
        <f>VLOOKUP($A$151,'集計'!$A$4:$EP$61,45,FALSE)</f>
        <v>1</v>
      </c>
      <c r="M154" s="16">
        <f>VLOOKUP($A$151,'集計'!$A$4:$EP$61,49,FALSE)</f>
        <v>4.2</v>
      </c>
      <c r="N154" s="15">
        <f>VLOOKUP($A$151,'集計'!$A$4:$EP$61,53,FALSE)</f>
        <v>0</v>
      </c>
      <c r="O154" s="16">
        <f>VLOOKUP($A$151,'集計'!$A$4:$EP$61,57,FALSE)</f>
        <v>0</v>
      </c>
      <c r="P154" s="15">
        <f>VLOOKUP($A$151,'集計'!$A$4:$EP$61,61,FALSE)</f>
        <v>0</v>
      </c>
      <c r="Q154" s="16">
        <f>VLOOKUP($A$151,'集計'!$A$4:$EP$61,65,FALSE)</f>
        <v>0</v>
      </c>
      <c r="R154" s="15">
        <f>VLOOKUP($A$151,'集計'!$A$4:$EP$61,69,FALSE)</f>
        <v>51</v>
      </c>
      <c r="S154" s="16">
        <f>VLOOKUP($A$151,'集計'!$A$4:$EP$61,73,FALSE)</f>
        <v>550.05</v>
      </c>
      <c r="T154" s="32" t="s">
        <v>24</v>
      </c>
      <c r="U154" s="15">
        <f>VLOOKUP($A$151,'集計'!$A$4:$EP$61,77,FALSE)</f>
        <v>30</v>
      </c>
      <c r="V154" s="16">
        <f>VLOOKUP($A$151,'集計'!$A$4:$EP$61,81,FALSE)</f>
        <v>4.45</v>
      </c>
      <c r="W154" s="15">
        <f>VLOOKUP($A$151,'集計'!$A$4:$EP$61,85,FALSE)</f>
        <v>4</v>
      </c>
      <c r="X154" s="16">
        <f>VLOOKUP($A$151,'集計'!$A$4:$EP$61,89,FALSE)</f>
        <v>7</v>
      </c>
      <c r="Y154" s="15">
        <f>VLOOKUP($A$151,'集計'!$A$4:$EP$61,93,FALSE)</f>
        <v>0</v>
      </c>
      <c r="Z154" s="16">
        <f>VLOOKUP($A$151,'集計'!$A$4:$EP$61,97,FALSE)</f>
        <v>0</v>
      </c>
      <c r="AA154" s="15">
        <f>VLOOKUP($A$151,'集計'!$A$4:$EP$61,101,FALSE)</f>
        <v>14</v>
      </c>
      <c r="AB154" s="16">
        <f>VLOOKUP($A$151,'集計'!$A$4:$EP$61,105,FALSE)</f>
        <v>308.4</v>
      </c>
      <c r="AC154" s="15">
        <f>VLOOKUP($A$151,'集計'!$A$4:$EP$61,109,FALSE)</f>
        <v>2</v>
      </c>
      <c r="AD154" s="16">
        <f>VLOOKUP($A$151,'集計'!$A$4:$EP$61,113,FALSE)</f>
        <v>38.9</v>
      </c>
      <c r="AE154" s="15">
        <f>VLOOKUP($A$151,'集計'!$A$4:$EP$61,117,FALSE)</f>
        <v>1</v>
      </c>
      <c r="AF154" s="16">
        <f>VLOOKUP($A$151,'集計'!$A$4:$EP$61,121,FALSE)</f>
        <v>4.2</v>
      </c>
      <c r="AG154" s="15">
        <f>VLOOKUP($A$151,'集計'!$A$4:$EP$61,125,FALSE)</f>
        <v>0</v>
      </c>
      <c r="AH154" s="16">
        <f>VLOOKUP($A$151,'集計'!$A$4:$EP$61,129,FALSE)</f>
        <v>0</v>
      </c>
      <c r="AI154" s="15">
        <f>VLOOKUP($A$151,'集計'!$A$4:$EP$61,133,FALSE)</f>
        <v>0</v>
      </c>
      <c r="AJ154" s="16">
        <f>VLOOKUP($A$151,'集計'!$A$4:$EP$61,137,FALSE)</f>
        <v>0</v>
      </c>
      <c r="AK154" s="15">
        <f>VLOOKUP($A$151,'集計'!$A$4:$EP$61,141,FALSE)</f>
        <v>51</v>
      </c>
      <c r="AL154" s="16">
        <f>VLOOKUP($A$151,'集計'!$A$4:$EP$61,145,FALSE)</f>
        <v>362.95</v>
      </c>
    </row>
    <row r="155" spans="1:39" ht="14.25">
      <c r="A155" s="32" t="s">
        <v>49</v>
      </c>
      <c r="B155" s="15">
        <f>VLOOKUP($A$155,'集計'!$A$4:$EP$61,6,FALSE)</f>
        <v>115</v>
      </c>
      <c r="C155" s="16">
        <f>VLOOKUP($A$155,'集計'!$A$4:$EP$61,10,FALSE)</f>
        <v>29.87</v>
      </c>
      <c r="D155" s="15">
        <f>VLOOKUP($A$155,'集計'!$A$4:$EP$61,14,FALSE)</f>
        <v>76</v>
      </c>
      <c r="E155" s="16">
        <f>VLOOKUP($A$155,'集計'!$A$4:$EP$61,18,FALSE)</f>
        <v>206.1</v>
      </c>
      <c r="F155" s="15">
        <f>VLOOKUP($A$155,'集計'!$A$4:$EP$61,22,FALSE)</f>
        <v>16</v>
      </c>
      <c r="G155" s="16">
        <f>VLOOKUP($A$155,'集計'!$A$4:$EP$61,26,FALSE)</f>
        <v>96.9</v>
      </c>
      <c r="H155" s="15">
        <f>VLOOKUP($A$155,'集計'!$A$4:$EP$61,30,FALSE)</f>
        <v>20</v>
      </c>
      <c r="I155" s="16">
        <f>VLOOKUP($A$155,'集計'!$A$4:$EP$61,34,FALSE)</f>
        <v>492</v>
      </c>
      <c r="J155" s="15">
        <f>VLOOKUP($A$155,'集計'!$A$4:$EP$61,38,FALSE)</f>
        <v>9</v>
      </c>
      <c r="K155" s="16">
        <f>VLOOKUP($A$155,'集計'!$A$4:$EP$61,42,FALSE)</f>
        <v>140.5</v>
      </c>
      <c r="L155" s="15">
        <f>VLOOKUP($A$155,'集計'!$A$4:$EP$61,46,FALSE)</f>
        <v>15</v>
      </c>
      <c r="M155" s="16">
        <f>VLOOKUP($A$155,'集計'!$A$4:$EP$61,50,FALSE)</f>
        <v>298.3</v>
      </c>
      <c r="N155" s="15">
        <f>VLOOKUP($A$155,'集計'!$A$4:$EP$61,54,FALSE)</f>
        <v>2</v>
      </c>
      <c r="O155" s="16">
        <f>VLOOKUP($A$155,'集計'!$A$4:$EP$61,58,FALSE)</f>
        <v>1.9</v>
      </c>
      <c r="P155" s="15">
        <f>VLOOKUP($A$155,'集計'!$A$4:$EP$61,62,FALSE)</f>
        <v>0</v>
      </c>
      <c r="Q155" s="16">
        <f>VLOOKUP($A$155,'集計'!$A$4:$EP$61,66,FALSE)</f>
        <v>0</v>
      </c>
      <c r="R155" s="15">
        <f>VLOOKUP($A$155,'集計'!$A$4:$EP$61,70,FALSE)</f>
        <v>253</v>
      </c>
      <c r="S155" s="16">
        <f>VLOOKUP($A$155,'集計'!$A$4:$EP$61,74,FALSE)</f>
        <v>1265.57</v>
      </c>
      <c r="T155" s="32" t="s">
        <v>49</v>
      </c>
      <c r="U155" s="15">
        <f>VLOOKUP($A$155,'集計'!$A$4:$EP$61,78,FALSE)</f>
        <v>110</v>
      </c>
      <c r="V155" s="16">
        <f>VLOOKUP($A$155,'集計'!$A$4:$EP$61,82,FALSE)</f>
        <v>28.27</v>
      </c>
      <c r="W155" s="15">
        <f>VLOOKUP($A$155,'集計'!$A$4:$EP$61,86,FALSE)</f>
        <v>47</v>
      </c>
      <c r="X155" s="16">
        <f>VLOOKUP($A$155,'集計'!$A$4:$EP$61,90,FALSE)</f>
        <v>110.8</v>
      </c>
      <c r="Y155" s="15">
        <f>VLOOKUP($A$155,'集計'!$A$4:$EP$61,94,FALSE)</f>
        <v>14</v>
      </c>
      <c r="Z155" s="16">
        <f>VLOOKUP($A$155,'集計'!$A$4:$EP$61,98,FALSE)</f>
        <v>73.5</v>
      </c>
      <c r="AA155" s="15">
        <f>VLOOKUP($A$155,'集計'!$A$4:$EP$61,102,FALSE)</f>
        <v>19</v>
      </c>
      <c r="AB155" s="16">
        <f>VLOOKUP($A$155,'集計'!$A$4:$EP$61,106,FALSE)</f>
        <v>329.7</v>
      </c>
      <c r="AC155" s="15">
        <f>VLOOKUP($A$155,'集計'!$A$4:$EP$61,110,FALSE)</f>
        <v>8</v>
      </c>
      <c r="AD155" s="16">
        <f>VLOOKUP($A$155,'集計'!$A$4:$EP$61,114,FALSE)</f>
        <v>115</v>
      </c>
      <c r="AE155" s="15">
        <f>VLOOKUP($A$155,'集計'!$A$4:$EP$61,118,FALSE)</f>
        <v>6</v>
      </c>
      <c r="AF155" s="16">
        <f>VLOOKUP($A$155,'集計'!$A$4:$EP$61,122,FALSE)</f>
        <v>85.9</v>
      </c>
      <c r="AG155" s="15">
        <f>VLOOKUP($A$155,'集計'!$A$4:$EP$61,126,FALSE)</f>
        <v>2</v>
      </c>
      <c r="AH155" s="16">
        <f>VLOOKUP($A$155,'集計'!$A$4:$EP$61,130,FALSE)</f>
        <v>1.6</v>
      </c>
      <c r="AI155" s="15">
        <f>VLOOKUP($A$155,'集計'!$A$4:$EP$61,134,FALSE)</f>
        <v>0</v>
      </c>
      <c r="AJ155" s="16">
        <f>VLOOKUP($A$155,'集計'!$A$4:$EP$61,138,FALSE)</f>
        <v>0</v>
      </c>
      <c r="AK155" s="15">
        <f>VLOOKUP($A$155,'集計'!$A$4:$EP$61,142,FALSE)</f>
        <v>206</v>
      </c>
      <c r="AL155" s="16">
        <f>VLOOKUP($A$155,'集計'!$A$4:$EP$61,146,FALSE)</f>
        <v>744.77</v>
      </c>
      <c r="AM155" s="23"/>
    </row>
    <row r="156" spans="1:38" ht="13.5">
      <c r="A156" s="32" t="s">
        <v>22</v>
      </c>
      <c r="B156" s="15">
        <f>VLOOKUP($A$155,'集計'!$A$4:$EP$61,3,FALSE)</f>
        <v>60</v>
      </c>
      <c r="C156" s="16">
        <f>VLOOKUP($A$155,'集計'!$A$4:$EP$61,7,FALSE)</f>
        <v>16.16</v>
      </c>
      <c r="D156" s="15">
        <f>VLOOKUP($A$155,'集計'!$A$4:$EP$61,11,FALSE)</f>
        <v>29</v>
      </c>
      <c r="E156" s="16">
        <f>VLOOKUP($A$155,'集計'!$A$4:$EP$61,15,FALSE)</f>
        <v>67.1</v>
      </c>
      <c r="F156" s="15">
        <f>VLOOKUP($A$155,'集計'!$A$4:$EP$61,19,FALSE)</f>
        <v>3</v>
      </c>
      <c r="G156" s="16">
        <f>VLOOKUP($A$155,'集計'!$A$4:$EP$61,23,FALSE)</f>
        <v>22.8</v>
      </c>
      <c r="H156" s="15">
        <f>VLOOKUP($A$155,'集計'!$A$4:$EP$61,27,FALSE)</f>
        <v>5</v>
      </c>
      <c r="I156" s="16">
        <f>VLOOKUP($A$155,'集計'!$A$4:$EP$61,31,FALSE)</f>
        <v>104.3</v>
      </c>
      <c r="J156" s="15">
        <f>VLOOKUP($A$155,'集計'!$A$4:$EP$61,35,FALSE)</f>
        <v>1</v>
      </c>
      <c r="K156" s="16">
        <f>VLOOKUP($A$155,'集計'!$A$4:$EP$61,39,FALSE)</f>
        <v>15.1</v>
      </c>
      <c r="L156" s="15">
        <f>VLOOKUP($A$155,'集計'!$A$4:$EP$61,43,FALSE)</f>
        <v>0</v>
      </c>
      <c r="M156" s="16">
        <f>VLOOKUP($A$155,'集計'!$A$4:$EP$61,47,FALSE)</f>
        <v>0</v>
      </c>
      <c r="N156" s="15">
        <f>VLOOKUP($A$155,'集計'!$A$4:$EP$61,51,FALSE)</f>
        <v>1</v>
      </c>
      <c r="O156" s="16">
        <f>VLOOKUP($A$155,'集計'!$A$4:$EP$61,55,FALSE)</f>
        <v>1.8</v>
      </c>
      <c r="P156" s="15">
        <f>VLOOKUP($A$155,'集計'!$A$4:$EP$61,59,FALSE)</f>
        <v>0</v>
      </c>
      <c r="Q156" s="16">
        <f>VLOOKUP($A$155,'集計'!$A$4:$EP$61,63,FALSE)</f>
        <v>0</v>
      </c>
      <c r="R156" s="15">
        <f>VLOOKUP($A$155,'集計'!$A$4:$EP$61,67,FALSE)</f>
        <v>99</v>
      </c>
      <c r="S156" s="16">
        <f>VLOOKUP($A$155,'集計'!$A$4:$EP$61,71,FALSE)</f>
        <v>227.26</v>
      </c>
      <c r="T156" s="32" t="s">
        <v>22</v>
      </c>
      <c r="U156" s="15">
        <f>VLOOKUP($A$155,'集計'!$A$4:$EP$61,75,FALSE)</f>
        <v>59</v>
      </c>
      <c r="V156" s="16">
        <f>VLOOKUP($A$155,'集計'!$A$4:$EP$61,79,FALSE)</f>
        <v>15.37</v>
      </c>
      <c r="W156" s="15">
        <f>VLOOKUP($A$155,'集計'!$A$4:$EP$61,83,FALSE)</f>
        <v>19</v>
      </c>
      <c r="X156" s="16">
        <f>VLOOKUP($A$155,'集計'!$A$4:$EP$61,87,FALSE)</f>
        <v>42.5</v>
      </c>
      <c r="Y156" s="15">
        <f>VLOOKUP($A$155,'集計'!$A$4:$EP$61,91,FALSE)</f>
        <v>3</v>
      </c>
      <c r="Z156" s="16">
        <f>VLOOKUP($A$155,'集計'!$A$4:$EP$61,95,FALSE)</f>
        <v>15</v>
      </c>
      <c r="AA156" s="15">
        <f>VLOOKUP($A$155,'集計'!$A$4:$EP$61,99,FALSE)</f>
        <v>5</v>
      </c>
      <c r="AB156" s="16">
        <f>VLOOKUP($A$155,'集計'!$A$4:$EP$61,103,FALSE)</f>
        <v>84.1</v>
      </c>
      <c r="AC156" s="15">
        <f>VLOOKUP($A$155,'集計'!$A$4:$EP$61,107,FALSE)</f>
        <v>1</v>
      </c>
      <c r="AD156" s="16">
        <f>VLOOKUP($A$155,'集計'!$A$4:$EP$61,111,FALSE)</f>
        <v>15.1</v>
      </c>
      <c r="AE156" s="15">
        <f>VLOOKUP($A$155,'集計'!$A$4:$EP$61,115,FALSE)</f>
        <v>0</v>
      </c>
      <c r="AF156" s="16">
        <f>VLOOKUP($A$155,'集計'!$A$4:$EP$61,119,FALSE)</f>
        <v>0</v>
      </c>
      <c r="AG156" s="15">
        <f>VLOOKUP($A$155,'集計'!$A$4:$EP$61,123,FALSE)</f>
        <v>1</v>
      </c>
      <c r="AH156" s="16">
        <f>VLOOKUP($A$155,'集計'!$A$4:$EP$61,127,FALSE)</f>
        <v>1.5</v>
      </c>
      <c r="AI156" s="15">
        <f>VLOOKUP($A$155,'集計'!$A$4:$EP$61,131,FALSE)</f>
        <v>0</v>
      </c>
      <c r="AJ156" s="16">
        <f>VLOOKUP($A$155,'集計'!$A$4:$EP$61,135,FALSE)</f>
        <v>0</v>
      </c>
      <c r="AK156" s="15">
        <f>VLOOKUP($A$155,'集計'!$A$4:$EP$61,139,FALSE)</f>
        <v>88</v>
      </c>
      <c r="AL156" s="16">
        <f>VLOOKUP($A$155,'集計'!$A$4:$EP$61,143,FALSE)</f>
        <v>173.57</v>
      </c>
    </row>
    <row r="157" spans="1:38" ht="13.5">
      <c r="A157" s="32" t="s">
        <v>23</v>
      </c>
      <c r="B157" s="15">
        <f>VLOOKUP($A$155,'集計'!$A$4:$EP$61,4,FALSE)</f>
        <v>38</v>
      </c>
      <c r="C157" s="16">
        <f>VLOOKUP($A$155,'集計'!$A$4:$EP$61,8,FALSE)</f>
        <v>8.31</v>
      </c>
      <c r="D157" s="15">
        <f>VLOOKUP($A$155,'集計'!$A$4:$EP$61,(12),FALSE)</f>
        <v>34</v>
      </c>
      <c r="E157" s="16">
        <f>VLOOKUP($A$155,'集計'!$A$4:$EP$61,16,FALSE)</f>
        <v>96.9</v>
      </c>
      <c r="F157" s="15">
        <f>VLOOKUP($A$155,'集計'!$A$4:$EP$61,20,FALSE)</f>
        <v>5</v>
      </c>
      <c r="G157" s="16">
        <f>VLOOKUP($A$155,'集計'!$A$4:$EP$61,24,FALSE)</f>
        <v>30.1</v>
      </c>
      <c r="H157" s="15">
        <f>VLOOKUP($A$155,'集計'!$A$4:$EP$61,28,FALSE)</f>
        <v>2</v>
      </c>
      <c r="I157" s="16">
        <f>VLOOKUP($A$155,'集計'!$A$4:$EP$61,32,FALSE)</f>
        <v>57.6</v>
      </c>
      <c r="J157" s="15">
        <f>VLOOKUP($A$155,'集計'!$A$4:$EP$61,36,FALSE)</f>
        <v>2</v>
      </c>
      <c r="K157" s="16">
        <f>VLOOKUP($A$155,'集計'!$A$4:$EP$61,40,FALSE)</f>
        <v>25.6</v>
      </c>
      <c r="L157" s="15">
        <f>VLOOKUP($A$155,'集計'!$A$4:$EP$61,44,FALSE)</f>
        <v>0</v>
      </c>
      <c r="M157" s="16">
        <f>VLOOKUP($A$155,'集計'!$A$4:$EP$61,48,FALSE)</f>
        <v>0</v>
      </c>
      <c r="N157" s="15">
        <f>VLOOKUP($A$155,'集計'!$A$4:$EP$61,52,FALSE)</f>
        <v>1</v>
      </c>
      <c r="O157" s="16">
        <f>VLOOKUP($A$155,'集計'!$A$4:$EP$61,56,FALSE)</f>
        <v>0.1</v>
      </c>
      <c r="P157" s="15">
        <f>VLOOKUP($A$155,'集計'!$A$4:$EP$61,60,FALSE)</f>
        <v>0</v>
      </c>
      <c r="Q157" s="16">
        <f>VLOOKUP($A$155,'集計'!$A$4:$EP$61,64,FALSE)</f>
        <v>0</v>
      </c>
      <c r="R157" s="15">
        <f>VLOOKUP($A$155,'集計'!$A$4:$EP$61,68,FALSE)</f>
        <v>82</v>
      </c>
      <c r="S157" s="16">
        <f>VLOOKUP($A$155,'集計'!$A$4:$EP$61,72,FALSE)</f>
        <v>218.61</v>
      </c>
      <c r="T157" s="32" t="s">
        <v>23</v>
      </c>
      <c r="U157" s="15">
        <f>VLOOKUP($A$155,'集計'!$A$4:$EP$61,76,FALSE)</f>
        <v>34</v>
      </c>
      <c r="V157" s="16">
        <f>VLOOKUP($A$155,'集計'!$A$4:$EP$61,80,FALSE)</f>
        <v>7.69</v>
      </c>
      <c r="W157" s="15">
        <f>VLOOKUP($A$155,'集計'!$A$4:$EP$61,84,FALSE)</f>
        <v>23</v>
      </c>
      <c r="X157" s="16">
        <f>VLOOKUP($A$155,'集計'!$A$4:$EP$61,88,FALSE)</f>
        <v>55.6</v>
      </c>
      <c r="Y157" s="15">
        <f>VLOOKUP($A$155,'集計'!$A$4:$EP$61,92,FALSE)</f>
        <v>6</v>
      </c>
      <c r="Z157" s="16">
        <f>VLOOKUP($A$155,'集計'!$A$4:$EP$61,96,FALSE)</f>
        <v>28</v>
      </c>
      <c r="AA157" s="15">
        <f>VLOOKUP($A$155,'集計'!$A$4:$EP$61,100,FALSE)</f>
        <v>2</v>
      </c>
      <c r="AB157" s="16">
        <f>VLOOKUP($A$155,'集計'!$A$4:$EP$61,104,FALSE)</f>
        <v>43.6</v>
      </c>
      <c r="AC157" s="15">
        <f>VLOOKUP($A$155,'集計'!$A$4:$EP$61,108,FALSE)</f>
        <v>2</v>
      </c>
      <c r="AD157" s="16">
        <f>VLOOKUP($A$155,'集計'!$A$4:$EP$61,112,FALSE)</f>
        <v>16.4</v>
      </c>
      <c r="AE157" s="15">
        <f>VLOOKUP($A$155,'集計'!$A$4:$EP$61,116,FALSE)</f>
        <v>0</v>
      </c>
      <c r="AF157" s="16">
        <f>VLOOKUP($A$155,'集計'!$A$4:$EP$61,120,FALSE)</f>
        <v>0</v>
      </c>
      <c r="AG157" s="15">
        <f>VLOOKUP($A$155,'集計'!$A$4:$EP$61,124,FALSE)</f>
        <v>1</v>
      </c>
      <c r="AH157" s="16">
        <f>VLOOKUP($A$155,'集計'!$A$4:$EP$61,128,FALSE)</f>
        <v>0.1</v>
      </c>
      <c r="AI157" s="15">
        <f>VLOOKUP($A$155,'集計'!$A$4:$EP$61,132,FALSE)</f>
        <v>0</v>
      </c>
      <c r="AJ157" s="16">
        <f>VLOOKUP($A$155,'集計'!$A$4:$EP$61,136,FALSE)</f>
        <v>0</v>
      </c>
      <c r="AK157" s="15">
        <f>VLOOKUP($A$155,'集計'!$A$4:$EP$61,140,FALSE)</f>
        <v>68</v>
      </c>
      <c r="AL157" s="16">
        <f>VLOOKUP($A$155,'集計'!$A$4:$EP$61,144,FALSE)</f>
        <v>151.39</v>
      </c>
    </row>
    <row r="158" spans="1:38" ht="13.5">
      <c r="A158" s="32" t="s">
        <v>24</v>
      </c>
      <c r="B158" s="15">
        <f>VLOOKUP($A$155,'集計'!$A$4:$EP$61,5,FALSE)</f>
        <v>17</v>
      </c>
      <c r="C158" s="16">
        <f>VLOOKUP($A$155,'集計'!$A$4:$EP$61,9,FALSE)</f>
        <v>5.4</v>
      </c>
      <c r="D158" s="15">
        <f>VLOOKUP($A$155,'集計'!$A$4:$EP$61,13,FALSE)</f>
        <v>13</v>
      </c>
      <c r="E158" s="16">
        <f>VLOOKUP($A$155,'集計'!$A$4:$EP$61,17,FALSE)</f>
        <v>42.1</v>
      </c>
      <c r="F158" s="15">
        <f>VLOOKUP($A$155,'集計'!$A$4:$EP$61,21,FALSE)</f>
        <v>8</v>
      </c>
      <c r="G158" s="16">
        <f>VLOOKUP($A$155,'集計'!$A$4:$EP$61,25,FALSE)</f>
        <v>44</v>
      </c>
      <c r="H158" s="15">
        <f>VLOOKUP($A$155,'集計'!$A$4:$EP$61,29,FALSE)</f>
        <v>13</v>
      </c>
      <c r="I158" s="16">
        <f>VLOOKUP($A$155,'集計'!$A$4:$EP$61,33,FALSE)</f>
        <v>330.1</v>
      </c>
      <c r="J158" s="15">
        <f>VLOOKUP($A$155,'集計'!$A$4:$EP$61,37,FALSE)</f>
        <v>6</v>
      </c>
      <c r="K158" s="16">
        <f>VLOOKUP($A$155,'集計'!$A$4:$EP$61,41,FALSE)</f>
        <v>99.8</v>
      </c>
      <c r="L158" s="15">
        <f>VLOOKUP($A$155,'集計'!$A$4:$EP$61,45,FALSE)</f>
        <v>15</v>
      </c>
      <c r="M158" s="16">
        <f>VLOOKUP($A$155,'集計'!$A$4:$EP$61,49,FALSE)</f>
        <v>298.3</v>
      </c>
      <c r="N158" s="15">
        <f>VLOOKUP($A$155,'集計'!$A$4:$EP$61,53,FALSE)</f>
        <v>0</v>
      </c>
      <c r="O158" s="16">
        <f>VLOOKUP($A$155,'集計'!$A$4:$EP$61,57,FALSE)</f>
        <v>0</v>
      </c>
      <c r="P158" s="15">
        <f>VLOOKUP($A$155,'集計'!$A$4:$EP$61,61,FALSE)</f>
        <v>0</v>
      </c>
      <c r="Q158" s="16">
        <f>VLOOKUP($A$155,'集計'!$A$4:$EP$61,65,FALSE)</f>
        <v>0</v>
      </c>
      <c r="R158" s="15">
        <f>VLOOKUP($A$155,'集計'!$A$4:$EP$61,69,FALSE)</f>
        <v>72</v>
      </c>
      <c r="S158" s="16">
        <f>VLOOKUP($A$155,'集計'!$A$4:$EP$61,73,FALSE)</f>
        <v>819.7</v>
      </c>
      <c r="T158" s="32" t="s">
        <v>24</v>
      </c>
      <c r="U158" s="15">
        <f>VLOOKUP($A$155,'集計'!$A$4:$EP$61,77,FALSE)</f>
        <v>17</v>
      </c>
      <c r="V158" s="16">
        <f>VLOOKUP($A$155,'集計'!$A$4:$EP$61,81,FALSE)</f>
        <v>5.21</v>
      </c>
      <c r="W158" s="15">
        <f>VLOOKUP($A$155,'集計'!$A$4:$EP$61,85,FALSE)</f>
        <v>5</v>
      </c>
      <c r="X158" s="16">
        <f>VLOOKUP($A$155,'集計'!$A$4:$EP$61,89,FALSE)</f>
        <v>12.7</v>
      </c>
      <c r="Y158" s="15">
        <f>VLOOKUP($A$155,'集計'!$A$4:$EP$61,93,FALSE)</f>
        <v>5</v>
      </c>
      <c r="Z158" s="16">
        <f>VLOOKUP($A$155,'集計'!$A$4:$EP$61,97,FALSE)</f>
        <v>30.5</v>
      </c>
      <c r="AA158" s="15">
        <f>VLOOKUP($A$155,'集計'!$A$4:$EP$61,101,FALSE)</f>
        <v>12</v>
      </c>
      <c r="AB158" s="16">
        <f>VLOOKUP($A$155,'集計'!$A$4:$EP$61,105,FALSE)</f>
        <v>202</v>
      </c>
      <c r="AC158" s="15">
        <f>VLOOKUP($A$155,'集計'!$A$4:$EP$61,109,FALSE)</f>
        <v>5</v>
      </c>
      <c r="AD158" s="16">
        <f>VLOOKUP($A$155,'集計'!$A$4:$EP$61,113,FALSE)</f>
        <v>83.5</v>
      </c>
      <c r="AE158" s="15">
        <f>VLOOKUP($A$155,'集計'!$A$4:$EP$61,117,FALSE)</f>
        <v>6</v>
      </c>
      <c r="AF158" s="16">
        <f>VLOOKUP($A$155,'集計'!$A$4:$EP$61,121,FALSE)</f>
        <v>85.9</v>
      </c>
      <c r="AG158" s="15">
        <f>VLOOKUP($A$155,'集計'!$A$4:$EP$61,125,FALSE)</f>
        <v>0</v>
      </c>
      <c r="AH158" s="16">
        <f>VLOOKUP($A$155,'集計'!$A$4:$EP$61,129,FALSE)</f>
        <v>0</v>
      </c>
      <c r="AI158" s="15">
        <f>VLOOKUP($A$155,'集計'!$A$4:$EP$61,133,FALSE)</f>
        <v>0</v>
      </c>
      <c r="AJ158" s="16">
        <f>VLOOKUP($A$155,'集計'!$A$4:$EP$61,137,FALSE)</f>
        <v>0</v>
      </c>
      <c r="AK158" s="15">
        <f>VLOOKUP($A$155,'集計'!$A$4:$EP$61,141,FALSE)</f>
        <v>50</v>
      </c>
      <c r="AL158" s="16">
        <f>VLOOKUP($A$155,'集計'!$A$4:$EP$61,145,FALSE)</f>
        <v>419.81</v>
      </c>
    </row>
    <row r="159" spans="1:38" ht="13.5">
      <c r="A159" s="32" t="s">
        <v>50</v>
      </c>
      <c r="B159" s="15">
        <f>VLOOKUP($A$159,'集計'!$A$4:$EP$61,6,FALSE)</f>
        <v>494</v>
      </c>
      <c r="C159" s="16">
        <f>VLOOKUP($A$159,'集計'!$A$4:$EP$61,10,FALSE)</f>
        <v>140.9</v>
      </c>
      <c r="D159" s="15">
        <f>VLOOKUP($A$159,'集計'!$A$4:$EP$61,14,FALSE)</f>
        <v>55</v>
      </c>
      <c r="E159" s="16">
        <f>VLOOKUP($A$159,'集計'!$A$4:$EP$61,18,FALSE)</f>
        <v>110.7</v>
      </c>
      <c r="F159" s="15">
        <f>VLOOKUP($A$159,'集計'!$A$4:$EP$61,22,FALSE)</f>
        <v>27</v>
      </c>
      <c r="G159" s="16">
        <f>VLOOKUP($A$159,'集計'!$A$4:$EP$61,26,FALSE)</f>
        <v>144.4</v>
      </c>
      <c r="H159" s="15">
        <f>VLOOKUP($A$159,'集計'!$A$4:$EP$61,30,FALSE)</f>
        <v>22</v>
      </c>
      <c r="I159" s="16">
        <f>VLOOKUP($A$159,'集計'!$A$4:$EP$61,34,FALSE)</f>
        <v>523.3</v>
      </c>
      <c r="J159" s="15">
        <f>VLOOKUP($A$159,'集計'!$A$4:$EP$61,38,FALSE)</f>
        <v>9</v>
      </c>
      <c r="K159" s="16">
        <f>VLOOKUP($A$159,'集計'!$A$4:$EP$61,42,FALSE)</f>
        <v>173.3</v>
      </c>
      <c r="L159" s="15">
        <f>VLOOKUP($A$159,'集計'!$A$4:$EP$61,46,FALSE)</f>
        <v>10</v>
      </c>
      <c r="M159" s="16">
        <f>VLOOKUP($A$159,'集計'!$A$4:$EP$61,50,FALSE)</f>
        <v>124.6</v>
      </c>
      <c r="N159" s="15">
        <f>VLOOKUP($A$159,'集計'!$A$4:$EP$61,54,FALSE)</f>
        <v>4</v>
      </c>
      <c r="O159" s="16">
        <f>VLOOKUP($A$159,'集計'!$A$4:$EP$61,58,FALSE)</f>
        <v>12.1</v>
      </c>
      <c r="P159" s="15">
        <f>VLOOKUP($A$159,'集計'!$A$4:$EP$61,62,FALSE)</f>
        <v>5</v>
      </c>
      <c r="Q159" s="16">
        <f>VLOOKUP($A$159,'集計'!$A$4:$EP$61,66,FALSE)</f>
        <v>507.8</v>
      </c>
      <c r="R159" s="15">
        <f>VLOOKUP($A$159,'集計'!$A$4:$EP$61,70,FALSE)</f>
        <v>626</v>
      </c>
      <c r="S159" s="16">
        <f>VLOOKUP($A$159,'集計'!$A$4:$EP$61,74,FALSE)</f>
        <v>1737.1</v>
      </c>
      <c r="T159" s="32" t="s">
        <v>50</v>
      </c>
      <c r="U159" s="15">
        <f>VLOOKUP($A$159,'集計'!$A$4:$EP$61,78,FALSE)</f>
        <v>486</v>
      </c>
      <c r="V159" s="16">
        <f>VLOOKUP($A$159,'集計'!$A$4:$EP$61,82,FALSE)</f>
        <v>137.78</v>
      </c>
      <c r="W159" s="15">
        <f>VLOOKUP($A$159,'集計'!$A$4:$EP$61,86,FALSE)</f>
        <v>55</v>
      </c>
      <c r="X159" s="16">
        <f>VLOOKUP($A$159,'集計'!$A$4:$EP$61,90,FALSE)</f>
        <v>106.86</v>
      </c>
      <c r="Y159" s="15">
        <f>VLOOKUP($A$159,'集計'!$A$4:$EP$61,94,FALSE)</f>
        <v>26</v>
      </c>
      <c r="Z159" s="16">
        <f>VLOOKUP($A$159,'集計'!$A$4:$EP$61,98,FALSE)</f>
        <v>128.91</v>
      </c>
      <c r="AA159" s="15">
        <f>VLOOKUP($A$159,'集計'!$A$4:$EP$61,102,FALSE)</f>
        <v>19</v>
      </c>
      <c r="AB159" s="16">
        <f>VLOOKUP($A$159,'集計'!$A$4:$EP$61,106,FALSE)</f>
        <v>337.5</v>
      </c>
      <c r="AC159" s="15">
        <f>VLOOKUP($A$159,'集計'!$A$4:$EP$61,110,FALSE)</f>
        <v>9</v>
      </c>
      <c r="AD159" s="16">
        <f>VLOOKUP($A$159,'集計'!$A$4:$EP$61,114,FALSE)</f>
        <v>140.8</v>
      </c>
      <c r="AE159" s="15">
        <f>VLOOKUP($A$159,'集計'!$A$4:$EP$61,118,FALSE)</f>
        <v>10</v>
      </c>
      <c r="AF159" s="16">
        <f>VLOOKUP($A$159,'集計'!$A$4:$EP$61,122,FALSE)</f>
        <v>110.2</v>
      </c>
      <c r="AG159" s="15">
        <f>VLOOKUP($A$159,'集計'!$A$4:$EP$61,126,FALSE)</f>
        <v>3</v>
      </c>
      <c r="AH159" s="16">
        <f>VLOOKUP($A$159,'集計'!$A$4:$EP$61,130,FALSE)</f>
        <v>5.9</v>
      </c>
      <c r="AI159" s="15">
        <f>VLOOKUP($A$159,'集計'!$A$4:$EP$61,134,FALSE)</f>
        <v>4</v>
      </c>
      <c r="AJ159" s="16">
        <f>VLOOKUP($A$159,'集計'!$A$4:$EP$61,138,FALSE)</f>
        <v>248.2</v>
      </c>
      <c r="AK159" s="15">
        <f>VLOOKUP($A$159,'集計'!$A$4:$EP$61,142,FALSE)</f>
        <v>612</v>
      </c>
      <c r="AL159" s="16">
        <f>VLOOKUP($A$159,'集計'!$A$4:$EP$61,146,FALSE)</f>
        <v>1216.15</v>
      </c>
    </row>
    <row r="160" spans="1:38" ht="13.5">
      <c r="A160" s="32" t="s">
        <v>22</v>
      </c>
      <c r="B160" s="15">
        <f>VLOOKUP($A$159,'集計'!$A$4:$EP$61,3,FALSE)</f>
        <v>409</v>
      </c>
      <c r="C160" s="16">
        <f>VLOOKUP($A$159,'集計'!$A$4:$EP$61,7,FALSE)</f>
        <v>111.33</v>
      </c>
      <c r="D160" s="15">
        <f>VLOOKUP($A$159,'集計'!$A$4:$EP$61,11,FALSE)</f>
        <v>37</v>
      </c>
      <c r="E160" s="16">
        <f>VLOOKUP($A$159,'集計'!$A$4:$EP$61,15,FALSE)</f>
        <v>72.2</v>
      </c>
      <c r="F160" s="15">
        <f>VLOOKUP($A$159,'集計'!$A$4:$EP$61,19,FALSE)</f>
        <v>11</v>
      </c>
      <c r="G160" s="16">
        <f>VLOOKUP($A$159,'集計'!$A$4:$EP$61,23,FALSE)</f>
        <v>52.9</v>
      </c>
      <c r="H160" s="15">
        <f>VLOOKUP($A$159,'集計'!$A$4:$EP$61,27,FALSE)</f>
        <v>9</v>
      </c>
      <c r="I160" s="16">
        <f>VLOOKUP($A$159,'集計'!$A$4:$EP$61,31,FALSE)</f>
        <v>173.1</v>
      </c>
      <c r="J160" s="15">
        <f>VLOOKUP($A$159,'集計'!$A$4:$EP$61,35,FALSE)</f>
        <v>3</v>
      </c>
      <c r="K160" s="16">
        <f>VLOOKUP($A$159,'集計'!$A$4:$EP$61,39,FALSE)</f>
        <v>57.6</v>
      </c>
      <c r="L160" s="15">
        <f>VLOOKUP($A$159,'集計'!$A$4:$EP$61,43,FALSE)</f>
        <v>0</v>
      </c>
      <c r="M160" s="16">
        <f>VLOOKUP($A$159,'集計'!$A$4:$EP$61,47,FALSE)</f>
        <v>0</v>
      </c>
      <c r="N160" s="15">
        <f>VLOOKUP($A$159,'集計'!$A$4:$EP$61,51,FALSE)</f>
        <v>3</v>
      </c>
      <c r="O160" s="16">
        <f>VLOOKUP($A$159,'集計'!$A$4:$EP$61,55,FALSE)</f>
        <v>6.1</v>
      </c>
      <c r="P160" s="15">
        <f>VLOOKUP($A$159,'集計'!$A$4:$EP$61,59,FALSE)</f>
        <v>0</v>
      </c>
      <c r="Q160" s="16">
        <f>VLOOKUP($A$159,'集計'!$A$4:$EP$61,63,FALSE)</f>
        <v>0</v>
      </c>
      <c r="R160" s="15">
        <f>VLOOKUP($A$159,'集計'!$A$4:$EP$61,67,FALSE)</f>
        <v>472</v>
      </c>
      <c r="S160" s="16">
        <f>VLOOKUP($A$159,'集計'!$A$4:$EP$61,71,FALSE)</f>
        <v>473.23</v>
      </c>
      <c r="T160" s="32" t="s">
        <v>22</v>
      </c>
      <c r="U160" s="15">
        <f>VLOOKUP($A$159,'集計'!$A$4:$EP$61,75,FALSE)</f>
        <v>403</v>
      </c>
      <c r="V160" s="16">
        <f>VLOOKUP($A$159,'集計'!$A$4:$EP$61,79,FALSE)</f>
        <v>109.05</v>
      </c>
      <c r="W160" s="15">
        <f>VLOOKUP($A$159,'集計'!$A$4:$EP$61,83,FALSE)</f>
        <v>37</v>
      </c>
      <c r="X160" s="16">
        <f>VLOOKUP($A$159,'集計'!$A$4:$EP$61,87,FALSE)</f>
        <v>68.3</v>
      </c>
      <c r="Y160" s="15">
        <f>VLOOKUP($A$159,'集計'!$A$4:$EP$61,91,FALSE)</f>
        <v>10</v>
      </c>
      <c r="Z160" s="16">
        <f>VLOOKUP($A$159,'集計'!$A$4:$EP$61,95,FALSE)</f>
        <v>45.8</v>
      </c>
      <c r="AA160" s="15">
        <f>VLOOKUP($A$159,'集計'!$A$4:$EP$61,99,FALSE)</f>
        <v>8</v>
      </c>
      <c r="AB160" s="16">
        <f>VLOOKUP($A$159,'集計'!$A$4:$EP$61,103,FALSE)</f>
        <v>142.3</v>
      </c>
      <c r="AC160" s="15">
        <f>VLOOKUP($A$159,'集計'!$A$4:$EP$61,107,FALSE)</f>
        <v>3</v>
      </c>
      <c r="AD160" s="16">
        <f>VLOOKUP($A$159,'集計'!$A$4:$EP$61,111,FALSE)</f>
        <v>55.5</v>
      </c>
      <c r="AE160" s="15">
        <f>VLOOKUP($A$159,'集計'!$A$4:$EP$61,115,FALSE)</f>
        <v>0</v>
      </c>
      <c r="AF160" s="16">
        <f>VLOOKUP($A$159,'集計'!$A$4:$EP$61,119,FALSE)</f>
        <v>0</v>
      </c>
      <c r="AG160" s="15">
        <f>VLOOKUP($A$159,'集計'!$A$4:$EP$61,123,FALSE)</f>
        <v>3</v>
      </c>
      <c r="AH160" s="16">
        <f>VLOOKUP($A$159,'集計'!$A$4:$EP$61,127,FALSE)</f>
        <v>5.9</v>
      </c>
      <c r="AI160" s="15">
        <f>VLOOKUP($A$159,'集計'!$A$4:$EP$61,131,FALSE)</f>
        <v>0</v>
      </c>
      <c r="AJ160" s="16">
        <f>VLOOKUP($A$159,'集計'!$A$4:$EP$61,135,FALSE)</f>
        <v>0</v>
      </c>
      <c r="AK160" s="15">
        <f>VLOOKUP($A$159,'集計'!$A$4:$EP$61,139,FALSE)</f>
        <v>464</v>
      </c>
      <c r="AL160" s="16">
        <f>VLOOKUP($A$159,'集計'!$A$4:$EP$61,143,FALSE)</f>
        <v>426.85</v>
      </c>
    </row>
    <row r="161" spans="1:38" ht="13.5">
      <c r="A161" s="32" t="s">
        <v>23</v>
      </c>
      <c r="B161" s="15">
        <f>VLOOKUP($A$159,'集計'!$A$4:$EP$61,4,FALSE)</f>
        <v>54</v>
      </c>
      <c r="C161" s="16">
        <f>VLOOKUP($A$159,'集計'!$A$4:$EP$61,8,FALSE)</f>
        <v>19.51</v>
      </c>
      <c r="D161" s="15">
        <f>VLOOKUP($A$159,'集計'!$A$4:$EP$61,(12),FALSE)</f>
        <v>15</v>
      </c>
      <c r="E161" s="16">
        <f>VLOOKUP($A$159,'集計'!$A$4:$EP$61,16,FALSE)</f>
        <v>32.6</v>
      </c>
      <c r="F161" s="15">
        <f>VLOOKUP($A$159,'集計'!$A$4:$EP$61,20,FALSE)</f>
        <v>5</v>
      </c>
      <c r="G161" s="16">
        <f>VLOOKUP($A$159,'集計'!$A$4:$EP$61,24,FALSE)</f>
        <v>22.8</v>
      </c>
      <c r="H161" s="15">
        <f>VLOOKUP($A$159,'集計'!$A$4:$EP$61,28,FALSE)</f>
        <v>3</v>
      </c>
      <c r="I161" s="16">
        <f>VLOOKUP($A$159,'集計'!$A$4:$EP$61,32,FALSE)</f>
        <v>89.4</v>
      </c>
      <c r="J161" s="15">
        <f>VLOOKUP($A$159,'集計'!$A$4:$EP$61,36,FALSE)</f>
        <v>0</v>
      </c>
      <c r="K161" s="16">
        <f>VLOOKUP($A$159,'集計'!$A$4:$EP$61,40,FALSE)</f>
        <v>0</v>
      </c>
      <c r="L161" s="15">
        <f>VLOOKUP($A$159,'集計'!$A$4:$EP$61,44,FALSE)</f>
        <v>1</v>
      </c>
      <c r="M161" s="16">
        <f>VLOOKUP($A$159,'集計'!$A$4:$EP$61,48,FALSE)</f>
        <v>6.2</v>
      </c>
      <c r="N161" s="15">
        <f>VLOOKUP($A$159,'集計'!$A$4:$EP$61,52,FALSE)</f>
        <v>1</v>
      </c>
      <c r="O161" s="16">
        <f>VLOOKUP($A$159,'集計'!$A$4:$EP$61,56,FALSE)</f>
        <v>6</v>
      </c>
      <c r="P161" s="15">
        <f>VLOOKUP($A$159,'集計'!$A$4:$EP$61,60,FALSE)</f>
        <v>0</v>
      </c>
      <c r="Q161" s="16">
        <f>VLOOKUP($A$159,'集計'!$A$4:$EP$61,64,FALSE)</f>
        <v>0</v>
      </c>
      <c r="R161" s="15">
        <f>VLOOKUP($A$159,'集計'!$A$4:$EP$61,68,FALSE)</f>
        <v>79</v>
      </c>
      <c r="S161" s="16">
        <f>VLOOKUP($A$159,'集計'!$A$4:$EP$61,72,FALSE)</f>
        <v>176.51</v>
      </c>
      <c r="T161" s="32" t="s">
        <v>23</v>
      </c>
      <c r="U161" s="15">
        <f>VLOOKUP($A$159,'集計'!$A$4:$EP$61,76,FALSE)</f>
        <v>52</v>
      </c>
      <c r="V161" s="16">
        <f>VLOOKUP($A$159,'集計'!$A$4:$EP$61,80,FALSE)</f>
        <v>18.72</v>
      </c>
      <c r="W161" s="15">
        <f>VLOOKUP($A$159,'集計'!$A$4:$EP$61,84,FALSE)</f>
        <v>14</v>
      </c>
      <c r="X161" s="16">
        <f>VLOOKUP($A$159,'集計'!$A$4:$EP$61,88,FALSE)</f>
        <v>30.3</v>
      </c>
      <c r="Y161" s="15">
        <f>VLOOKUP($A$159,'集計'!$A$4:$EP$61,92,FALSE)</f>
        <v>5</v>
      </c>
      <c r="Z161" s="16">
        <f>VLOOKUP($A$159,'集計'!$A$4:$EP$61,96,FALSE)</f>
        <v>22.7</v>
      </c>
      <c r="AA161" s="15">
        <f>VLOOKUP($A$159,'集計'!$A$4:$EP$61,100,FALSE)</f>
        <v>3</v>
      </c>
      <c r="AB161" s="16">
        <f>VLOOKUP($A$159,'集計'!$A$4:$EP$61,104,FALSE)</f>
        <v>84.2</v>
      </c>
      <c r="AC161" s="15">
        <f>VLOOKUP($A$159,'集計'!$A$4:$EP$61,108,FALSE)</f>
        <v>0</v>
      </c>
      <c r="AD161" s="16">
        <f>VLOOKUP($A$159,'集計'!$A$4:$EP$61,112,FALSE)</f>
        <v>0</v>
      </c>
      <c r="AE161" s="15">
        <f>VLOOKUP($A$159,'集計'!$A$4:$EP$61,116,FALSE)</f>
        <v>1</v>
      </c>
      <c r="AF161" s="16">
        <f>VLOOKUP($A$159,'集計'!$A$4:$EP$61,120,FALSE)</f>
        <v>6.2</v>
      </c>
      <c r="AG161" s="15">
        <f>VLOOKUP($A$159,'集計'!$A$4:$EP$61,124,FALSE)</f>
        <v>0</v>
      </c>
      <c r="AH161" s="16">
        <f>VLOOKUP($A$159,'集計'!$A$4:$EP$61,128,FALSE)</f>
        <v>0</v>
      </c>
      <c r="AI161" s="15">
        <f>VLOOKUP($A$159,'集計'!$A$4:$EP$61,132,FALSE)</f>
        <v>0</v>
      </c>
      <c r="AJ161" s="16">
        <f>VLOOKUP($A$159,'集計'!$A$4:$EP$61,136,FALSE)</f>
        <v>0</v>
      </c>
      <c r="AK161" s="15">
        <f>VLOOKUP($A$159,'集計'!$A$4:$EP$61,140,FALSE)</f>
        <v>75</v>
      </c>
      <c r="AL161" s="16">
        <f>VLOOKUP($A$159,'集計'!$A$4:$EP$61,144,FALSE)</f>
        <v>162.12</v>
      </c>
    </row>
    <row r="162" spans="1:38" ht="13.5">
      <c r="A162" s="32" t="s">
        <v>24</v>
      </c>
      <c r="B162" s="15">
        <f>VLOOKUP($A$159,'集計'!$A$4:$EP$61,5,FALSE)</f>
        <v>31</v>
      </c>
      <c r="C162" s="16">
        <f>VLOOKUP($A$159,'集計'!$A$4:$EP$61,9,FALSE)</f>
        <v>10.06</v>
      </c>
      <c r="D162" s="15">
        <f>VLOOKUP($A$159,'集計'!$A$4:$EP$61,13,FALSE)</f>
        <v>3</v>
      </c>
      <c r="E162" s="16">
        <f>VLOOKUP($A$159,'集計'!$A$4:$EP$61,17,FALSE)</f>
        <v>5.9</v>
      </c>
      <c r="F162" s="15">
        <f>VLOOKUP($A$159,'集計'!$A$4:$EP$61,21,FALSE)</f>
        <v>11</v>
      </c>
      <c r="G162" s="16">
        <f>VLOOKUP($A$159,'集計'!$A$4:$EP$61,25,FALSE)</f>
        <v>68.7</v>
      </c>
      <c r="H162" s="15">
        <f>VLOOKUP($A$159,'集計'!$A$4:$EP$61,29,FALSE)</f>
        <v>10</v>
      </c>
      <c r="I162" s="16">
        <f>VLOOKUP($A$159,'集計'!$A$4:$EP$61,33,FALSE)</f>
        <v>260.8</v>
      </c>
      <c r="J162" s="15">
        <f>VLOOKUP($A$159,'集計'!$A$4:$EP$61,37,FALSE)</f>
        <v>6</v>
      </c>
      <c r="K162" s="16">
        <f>VLOOKUP($A$159,'集計'!$A$4:$EP$61,41,FALSE)</f>
        <v>115.7</v>
      </c>
      <c r="L162" s="15">
        <f>VLOOKUP($A$159,'集計'!$A$4:$EP$61,45,FALSE)</f>
        <v>9</v>
      </c>
      <c r="M162" s="16">
        <f>VLOOKUP($A$159,'集計'!$A$4:$EP$61,49,FALSE)</f>
        <v>118.4</v>
      </c>
      <c r="N162" s="15">
        <f>VLOOKUP($A$159,'集計'!$A$4:$EP$61,53,FALSE)</f>
        <v>0</v>
      </c>
      <c r="O162" s="16">
        <f>VLOOKUP($A$159,'集計'!$A$4:$EP$61,57,FALSE)</f>
        <v>0</v>
      </c>
      <c r="P162" s="15">
        <f>VLOOKUP($A$159,'集計'!$A$4:$EP$61,61,FALSE)</f>
        <v>5</v>
      </c>
      <c r="Q162" s="16">
        <f>VLOOKUP($A$159,'集計'!$A$4:$EP$61,65,FALSE)</f>
        <v>507.8</v>
      </c>
      <c r="R162" s="15">
        <f>VLOOKUP($A$159,'集計'!$A$4:$EP$61,69,FALSE)</f>
        <v>75</v>
      </c>
      <c r="S162" s="16">
        <f>VLOOKUP($A$159,'集計'!$A$4:$EP$61,73,FALSE)</f>
        <v>1087.36</v>
      </c>
      <c r="T162" s="32" t="s">
        <v>24</v>
      </c>
      <c r="U162" s="15">
        <f>VLOOKUP($A$159,'集計'!$A$4:$EP$61,77,FALSE)</f>
        <v>31</v>
      </c>
      <c r="V162" s="16">
        <f>VLOOKUP($A$159,'集計'!$A$4:$EP$61,81,FALSE)</f>
        <v>10.01</v>
      </c>
      <c r="W162" s="15">
        <f>VLOOKUP($A$159,'集計'!$A$4:$EP$61,85,FALSE)</f>
        <v>4</v>
      </c>
      <c r="X162" s="16">
        <f>VLOOKUP($A$159,'集計'!$A$4:$EP$61,89,FALSE)</f>
        <v>8.26</v>
      </c>
      <c r="Y162" s="15">
        <f>VLOOKUP($A$159,'集計'!$A$4:$EP$61,93,FALSE)</f>
        <v>11</v>
      </c>
      <c r="Z162" s="16">
        <f>VLOOKUP($A$159,'集計'!$A$4:$EP$61,97,FALSE)</f>
        <v>60.41</v>
      </c>
      <c r="AA162" s="15">
        <f>VLOOKUP($A$159,'集計'!$A$4:$EP$61,101,FALSE)</f>
        <v>8</v>
      </c>
      <c r="AB162" s="16">
        <f>VLOOKUP($A$159,'集計'!$A$4:$EP$61,105,FALSE)</f>
        <v>111</v>
      </c>
      <c r="AC162" s="15">
        <f>VLOOKUP($A$159,'集計'!$A$4:$EP$61,109,FALSE)</f>
        <v>6</v>
      </c>
      <c r="AD162" s="16">
        <f>VLOOKUP($A$159,'集計'!$A$4:$EP$61,113,FALSE)</f>
        <v>85.3</v>
      </c>
      <c r="AE162" s="15">
        <f>VLOOKUP($A$159,'集計'!$A$4:$EP$61,117,FALSE)</f>
        <v>9</v>
      </c>
      <c r="AF162" s="16">
        <f>VLOOKUP($A$159,'集計'!$A$4:$EP$61,121,FALSE)</f>
        <v>104</v>
      </c>
      <c r="AG162" s="15">
        <f>VLOOKUP($A$159,'集計'!$A$4:$EP$61,125,FALSE)</f>
        <v>0</v>
      </c>
      <c r="AH162" s="16">
        <f>VLOOKUP($A$159,'集計'!$A$4:$EP$61,129,FALSE)</f>
        <v>0</v>
      </c>
      <c r="AI162" s="15">
        <f>VLOOKUP($A$159,'集計'!$A$4:$EP$61,133,FALSE)</f>
        <v>4</v>
      </c>
      <c r="AJ162" s="16">
        <f>VLOOKUP($A$159,'集計'!$A$4:$EP$61,137,FALSE)</f>
        <v>248.2</v>
      </c>
      <c r="AK162" s="15">
        <f>VLOOKUP($A$159,'集計'!$A$4:$EP$61,141,FALSE)</f>
        <v>73</v>
      </c>
      <c r="AL162" s="16">
        <f>VLOOKUP($A$159,'集計'!$A$4:$EP$61,145,FALSE)</f>
        <v>627.18</v>
      </c>
    </row>
    <row r="163" spans="1:38" ht="13.5">
      <c r="A163" s="32" t="s">
        <v>51</v>
      </c>
      <c r="B163" s="15">
        <f>VLOOKUP($A$163,'集計'!$A$4:$EP$61,6,FALSE)</f>
        <v>1773</v>
      </c>
      <c r="C163" s="16">
        <f>VLOOKUP($A$163,'集計'!$A$4:$EP$61,10,FALSE)</f>
        <v>480.27</v>
      </c>
      <c r="D163" s="15">
        <f>VLOOKUP($A$163,'集計'!$A$4:$EP$61,14,FALSE)</f>
        <v>366</v>
      </c>
      <c r="E163" s="16">
        <f>VLOOKUP($A$163,'集計'!$A$4:$EP$61,18,FALSE)</f>
        <v>704.3</v>
      </c>
      <c r="F163" s="15">
        <f>VLOOKUP($A$163,'集計'!$A$4:$EP$61,22,FALSE)</f>
        <v>82</v>
      </c>
      <c r="G163" s="16">
        <f>VLOOKUP($A$163,'集計'!$A$4:$EP$61,26,FALSE)</f>
        <v>418.4</v>
      </c>
      <c r="H163" s="15">
        <f>VLOOKUP($A$163,'集計'!$A$4:$EP$61,30,FALSE)</f>
        <v>39</v>
      </c>
      <c r="I163" s="16">
        <f>VLOOKUP($A$163,'集計'!$A$4:$EP$61,34,FALSE)</f>
        <v>865.7</v>
      </c>
      <c r="J163" s="15">
        <f>VLOOKUP($A$163,'集計'!$A$4:$EP$61,38,FALSE)</f>
        <v>3</v>
      </c>
      <c r="K163" s="16">
        <f>VLOOKUP($A$163,'集計'!$A$4:$EP$61,42,FALSE)</f>
        <v>100.6</v>
      </c>
      <c r="L163" s="15">
        <f>VLOOKUP($A$163,'集計'!$A$4:$EP$61,46,FALSE)</f>
        <v>16</v>
      </c>
      <c r="M163" s="16">
        <f>VLOOKUP($A$163,'集計'!$A$4:$EP$61,50,FALSE)</f>
        <v>347.8</v>
      </c>
      <c r="N163" s="15">
        <f>VLOOKUP($A$163,'集計'!$A$4:$EP$61,54,FALSE)</f>
        <v>7</v>
      </c>
      <c r="O163" s="16">
        <f>VLOOKUP($A$163,'集計'!$A$4:$EP$61,58,FALSE)</f>
        <v>156.4</v>
      </c>
      <c r="P163" s="15">
        <f>VLOOKUP($A$163,'集計'!$A$4:$EP$61,62,FALSE)</f>
        <v>9</v>
      </c>
      <c r="Q163" s="16">
        <f>VLOOKUP($A$163,'集計'!$A$4:$EP$61,66,FALSE)</f>
        <v>592.7</v>
      </c>
      <c r="R163" s="15">
        <f>VLOOKUP($A$163,'集計'!$A$4:$EP$61,70,FALSE)</f>
        <v>2295</v>
      </c>
      <c r="S163" s="16">
        <f>VLOOKUP($A$163,'集計'!$A$4:$EP$61,74,FALSE)</f>
        <v>3666.17</v>
      </c>
      <c r="T163" s="32" t="s">
        <v>51</v>
      </c>
      <c r="U163" s="15">
        <f>VLOOKUP($A$163,'集計'!$A$4:$EP$61,78,FALSE)</f>
        <v>1670</v>
      </c>
      <c r="V163" s="16">
        <f>VLOOKUP($A$163,'集計'!$A$4:$EP$61,82,FALSE)</f>
        <v>443.69</v>
      </c>
      <c r="W163" s="15">
        <f>VLOOKUP($A$163,'集計'!$A$4:$EP$61,86,FALSE)</f>
        <v>292</v>
      </c>
      <c r="X163" s="16">
        <f>VLOOKUP($A$163,'集計'!$A$4:$EP$61,90,FALSE)</f>
        <v>480.8</v>
      </c>
      <c r="Y163" s="15">
        <f>VLOOKUP($A$163,'集計'!$A$4:$EP$61,94,FALSE)</f>
        <v>65</v>
      </c>
      <c r="Z163" s="16">
        <f>VLOOKUP($A$163,'集計'!$A$4:$EP$61,98,FALSE)</f>
        <v>270.7</v>
      </c>
      <c r="AA163" s="15">
        <f>VLOOKUP($A$163,'集計'!$A$4:$EP$61,102,FALSE)</f>
        <v>33</v>
      </c>
      <c r="AB163" s="16">
        <f>VLOOKUP($A$163,'集計'!$A$4:$EP$61,106,FALSE)</f>
        <v>458.6</v>
      </c>
      <c r="AC163" s="15">
        <f>VLOOKUP($A$163,'集計'!$A$4:$EP$61,110,FALSE)</f>
        <v>3</v>
      </c>
      <c r="AD163" s="16">
        <f>VLOOKUP($A$163,'集計'!$A$4:$EP$61,114,FALSE)</f>
        <v>90.8</v>
      </c>
      <c r="AE163" s="15">
        <f>VLOOKUP($A$163,'集計'!$A$4:$EP$61,118,FALSE)</f>
        <v>12</v>
      </c>
      <c r="AF163" s="16">
        <f>VLOOKUP($A$163,'集計'!$A$4:$EP$61,122,FALSE)</f>
        <v>136.6</v>
      </c>
      <c r="AG163" s="15">
        <f>VLOOKUP($A$163,'集計'!$A$4:$EP$61,126,FALSE)</f>
        <v>5</v>
      </c>
      <c r="AH163" s="16">
        <f>VLOOKUP($A$163,'集計'!$A$4:$EP$61,130,FALSE)</f>
        <v>140.1</v>
      </c>
      <c r="AI163" s="15">
        <f>VLOOKUP($A$163,'集計'!$A$4:$EP$61,134,FALSE)</f>
        <v>8</v>
      </c>
      <c r="AJ163" s="16">
        <f>VLOOKUP($A$163,'集計'!$A$4:$EP$61,138,FALSE)</f>
        <v>490.7</v>
      </c>
      <c r="AK163" s="15">
        <f>VLOOKUP($A$163,'集計'!$A$4:$EP$61,142,FALSE)</f>
        <v>2088</v>
      </c>
      <c r="AL163" s="16">
        <f>VLOOKUP($A$163,'集計'!$A$4:$EP$61,146,FALSE)</f>
        <v>2511.99</v>
      </c>
    </row>
    <row r="164" spans="1:38" ht="13.5">
      <c r="A164" s="32" t="s">
        <v>22</v>
      </c>
      <c r="B164" s="15">
        <f>VLOOKUP($A$163,'集計'!$A$4:$EP$61,3,FALSE)</f>
        <v>1720</v>
      </c>
      <c r="C164" s="16">
        <f>VLOOKUP($A$163,'集計'!$A$4:$EP$61,7,FALSE)</f>
        <v>464.47</v>
      </c>
      <c r="D164" s="15">
        <f>VLOOKUP($A$163,'集計'!$A$4:$EP$61,11,FALSE)</f>
        <v>325</v>
      </c>
      <c r="E164" s="16">
        <f>VLOOKUP($A$163,'集計'!$A$4:$EP$61,15,FALSE)</f>
        <v>623.3</v>
      </c>
      <c r="F164" s="15">
        <f>VLOOKUP($A$163,'集計'!$A$4:$EP$61,19,FALSE)</f>
        <v>69</v>
      </c>
      <c r="G164" s="16">
        <f>VLOOKUP($A$163,'集計'!$A$4:$EP$61,23,FALSE)</f>
        <v>348</v>
      </c>
      <c r="H164" s="15">
        <f>VLOOKUP($A$163,'集計'!$A$4:$EP$61,27,FALSE)</f>
        <v>34</v>
      </c>
      <c r="I164" s="16">
        <f>VLOOKUP($A$163,'集計'!$A$4:$EP$61,31,FALSE)</f>
        <v>653.3</v>
      </c>
      <c r="J164" s="15">
        <f>VLOOKUP($A$163,'集計'!$A$4:$EP$61,35,FALSE)</f>
        <v>3</v>
      </c>
      <c r="K164" s="16">
        <f>VLOOKUP($A$163,'集計'!$A$4:$EP$61,39,FALSE)</f>
        <v>100.6</v>
      </c>
      <c r="L164" s="15">
        <f>VLOOKUP($A$163,'集計'!$A$4:$EP$61,43,FALSE)</f>
        <v>9</v>
      </c>
      <c r="M164" s="16">
        <f>VLOOKUP($A$163,'集計'!$A$4:$EP$61,47,FALSE)</f>
        <v>141.7</v>
      </c>
      <c r="N164" s="15">
        <f>VLOOKUP($A$163,'集計'!$A$4:$EP$61,51,FALSE)</f>
        <v>6</v>
      </c>
      <c r="O164" s="16">
        <f>VLOOKUP($A$163,'集計'!$A$4:$EP$61,55,FALSE)</f>
        <v>151.8</v>
      </c>
      <c r="P164" s="15">
        <f>VLOOKUP($A$163,'集計'!$A$4:$EP$61,59,FALSE)</f>
        <v>4</v>
      </c>
      <c r="Q164" s="16">
        <f>VLOOKUP($A$163,'集計'!$A$4:$EP$61,63,FALSE)</f>
        <v>234.8</v>
      </c>
      <c r="R164" s="15">
        <f>VLOOKUP($A$163,'集計'!$A$4:$EP$61,67,FALSE)</f>
        <v>2170</v>
      </c>
      <c r="S164" s="16">
        <f>VLOOKUP($A$163,'集計'!$A$4:$EP$61,71,FALSE)</f>
        <v>2717.97</v>
      </c>
      <c r="T164" s="32" t="s">
        <v>22</v>
      </c>
      <c r="U164" s="15">
        <f>VLOOKUP($A$163,'集計'!$A$4:$EP$61,75,FALSE)</f>
        <v>1620</v>
      </c>
      <c r="V164" s="16">
        <f>VLOOKUP($A$163,'集計'!$A$4:$EP$61,79,FALSE)</f>
        <v>429.55</v>
      </c>
      <c r="W164" s="15">
        <f>VLOOKUP($A$163,'集計'!$A$4:$EP$61,83,FALSE)</f>
        <v>274</v>
      </c>
      <c r="X164" s="16">
        <f>VLOOKUP($A$163,'集計'!$A$4:$EP$61,87,FALSE)</f>
        <v>448.5</v>
      </c>
      <c r="Y164" s="15">
        <f>VLOOKUP($A$163,'集計'!$A$4:$EP$61,91,FALSE)</f>
        <v>58</v>
      </c>
      <c r="Z164" s="16">
        <f>VLOOKUP($A$163,'集計'!$A$4:$EP$61,95,FALSE)</f>
        <v>244.7</v>
      </c>
      <c r="AA164" s="15">
        <f>VLOOKUP($A$163,'集計'!$A$4:$EP$61,99,FALSE)</f>
        <v>30</v>
      </c>
      <c r="AB164" s="16">
        <f>VLOOKUP($A$163,'集計'!$A$4:$EP$61,103,FALSE)</f>
        <v>387.6</v>
      </c>
      <c r="AC164" s="15">
        <f>VLOOKUP($A$163,'集計'!$A$4:$EP$61,107,FALSE)</f>
        <v>3</v>
      </c>
      <c r="AD164" s="16">
        <f>VLOOKUP($A$163,'集計'!$A$4:$EP$61,111,FALSE)</f>
        <v>90.8</v>
      </c>
      <c r="AE164" s="15">
        <f>VLOOKUP($A$163,'集計'!$A$4:$EP$61,115,FALSE)</f>
        <v>8</v>
      </c>
      <c r="AF164" s="16">
        <f>VLOOKUP($A$163,'集計'!$A$4:$EP$61,119,FALSE)</f>
        <v>55.3</v>
      </c>
      <c r="AG164" s="15">
        <f>VLOOKUP($A$163,'集計'!$A$4:$EP$61,123,FALSE)</f>
        <v>5</v>
      </c>
      <c r="AH164" s="16">
        <f>VLOOKUP($A$163,'集計'!$A$4:$EP$61,127,FALSE)</f>
        <v>140.1</v>
      </c>
      <c r="AI164" s="15">
        <f>VLOOKUP($A$163,'集計'!$A$4:$EP$61,131,FALSE)</f>
        <v>4</v>
      </c>
      <c r="AJ164" s="16">
        <f>VLOOKUP($A$163,'集計'!$A$4:$EP$61,135,FALSE)</f>
        <v>233.4</v>
      </c>
      <c r="AK164" s="15">
        <f>VLOOKUP($A$163,'集計'!$A$4:$EP$61,139,FALSE)</f>
        <v>2002</v>
      </c>
      <c r="AL164" s="16">
        <f>VLOOKUP($A$163,'集計'!$A$4:$EP$61,143,FALSE)</f>
        <v>2029.95</v>
      </c>
    </row>
    <row r="165" spans="1:38" ht="13.5">
      <c r="A165" s="32" t="s">
        <v>23</v>
      </c>
      <c r="B165" s="15">
        <f>VLOOKUP($A$163,'集計'!$A$4:$EP$61,4,FALSE)</f>
        <v>50</v>
      </c>
      <c r="C165" s="16">
        <f>VLOOKUP($A$163,'集計'!$A$4:$EP$61,8,FALSE)</f>
        <v>15.15</v>
      </c>
      <c r="D165" s="15">
        <f>VLOOKUP($A$163,'集計'!$A$4:$EP$61,(12),FALSE)</f>
        <v>30</v>
      </c>
      <c r="E165" s="16">
        <f>VLOOKUP($A$163,'集計'!$A$4:$EP$61,16,FALSE)</f>
        <v>59</v>
      </c>
      <c r="F165" s="15">
        <f>VLOOKUP($A$163,'集計'!$A$4:$EP$61,20,FALSE)</f>
        <v>4</v>
      </c>
      <c r="G165" s="16">
        <f>VLOOKUP($A$163,'集計'!$A$4:$EP$61,24,FALSE)</f>
        <v>22.3</v>
      </c>
      <c r="H165" s="15">
        <f>VLOOKUP($A$163,'集計'!$A$4:$EP$61,28,FALSE)</f>
        <v>2</v>
      </c>
      <c r="I165" s="16">
        <f>VLOOKUP($A$163,'集計'!$A$4:$EP$61,32,FALSE)</f>
        <v>108.3</v>
      </c>
      <c r="J165" s="15">
        <f>VLOOKUP($A$163,'集計'!$A$4:$EP$61,36,FALSE)</f>
        <v>0</v>
      </c>
      <c r="K165" s="16">
        <f>VLOOKUP($A$163,'集計'!$A$4:$EP$61,40,FALSE)</f>
        <v>0</v>
      </c>
      <c r="L165" s="15">
        <f>VLOOKUP($A$163,'集計'!$A$4:$EP$61,44,FALSE)</f>
        <v>2</v>
      </c>
      <c r="M165" s="16">
        <f>VLOOKUP($A$163,'集計'!$A$4:$EP$61,48,FALSE)</f>
        <v>40.5</v>
      </c>
      <c r="N165" s="15">
        <f>VLOOKUP($A$163,'集計'!$A$4:$EP$61,52,FALSE)</f>
        <v>1</v>
      </c>
      <c r="O165" s="16">
        <f>VLOOKUP($A$163,'集計'!$A$4:$EP$61,56,FALSE)</f>
        <v>4.6</v>
      </c>
      <c r="P165" s="15">
        <f>VLOOKUP($A$163,'集計'!$A$4:$EP$61,60,FALSE)</f>
        <v>0</v>
      </c>
      <c r="Q165" s="16">
        <f>VLOOKUP($A$163,'集計'!$A$4:$EP$61,64,FALSE)</f>
        <v>0</v>
      </c>
      <c r="R165" s="15">
        <f>VLOOKUP($A$163,'集計'!$A$4:$EP$61,68,FALSE)</f>
        <v>89</v>
      </c>
      <c r="S165" s="16">
        <f>VLOOKUP($A$163,'集計'!$A$4:$EP$61,72,FALSE)</f>
        <v>249.85</v>
      </c>
      <c r="T165" s="32" t="s">
        <v>23</v>
      </c>
      <c r="U165" s="15">
        <f>VLOOKUP($A$163,'集計'!$A$4:$EP$61,76,FALSE)</f>
        <v>47</v>
      </c>
      <c r="V165" s="16">
        <f>VLOOKUP($A$163,'集計'!$A$4:$EP$61,80,FALSE)</f>
        <v>13.49</v>
      </c>
      <c r="W165" s="15">
        <f>VLOOKUP($A$163,'集計'!$A$4:$EP$61,84,FALSE)</f>
        <v>16</v>
      </c>
      <c r="X165" s="16">
        <f>VLOOKUP($A$163,'集計'!$A$4:$EP$61,88,FALSE)</f>
        <v>27.4</v>
      </c>
      <c r="Y165" s="15">
        <f>VLOOKUP($A$163,'集計'!$A$4:$EP$61,92,FALSE)</f>
        <v>3</v>
      </c>
      <c r="Z165" s="16">
        <f>VLOOKUP($A$163,'集計'!$A$4:$EP$61,96,FALSE)</f>
        <v>10.2</v>
      </c>
      <c r="AA165" s="15">
        <f>VLOOKUP($A$163,'集計'!$A$4:$EP$61,100,FALSE)</f>
        <v>1</v>
      </c>
      <c r="AB165" s="16">
        <f>VLOOKUP($A$163,'集計'!$A$4:$EP$61,104,FALSE)</f>
        <v>33.4</v>
      </c>
      <c r="AC165" s="15">
        <f>VLOOKUP($A$163,'集計'!$A$4:$EP$61,108,FALSE)</f>
        <v>0</v>
      </c>
      <c r="AD165" s="16">
        <f>VLOOKUP($A$163,'集計'!$A$4:$EP$61,112,FALSE)</f>
        <v>0</v>
      </c>
      <c r="AE165" s="15">
        <f>VLOOKUP($A$163,'集計'!$A$4:$EP$61,116,FALSE)</f>
        <v>2</v>
      </c>
      <c r="AF165" s="16">
        <f>VLOOKUP($A$163,'集計'!$A$4:$EP$61,120,FALSE)</f>
        <v>2.1</v>
      </c>
      <c r="AG165" s="15">
        <f>VLOOKUP($A$163,'集計'!$A$4:$EP$61,124,FALSE)</f>
        <v>0</v>
      </c>
      <c r="AH165" s="16">
        <f>VLOOKUP($A$163,'集計'!$A$4:$EP$61,128,FALSE)</f>
        <v>0</v>
      </c>
      <c r="AI165" s="15">
        <f>VLOOKUP($A$163,'集計'!$A$4:$EP$61,132,FALSE)</f>
        <v>0</v>
      </c>
      <c r="AJ165" s="16">
        <f>VLOOKUP($A$163,'集計'!$A$4:$EP$61,136,FALSE)</f>
        <v>0</v>
      </c>
      <c r="AK165" s="15">
        <f>VLOOKUP($A$163,'集計'!$A$4:$EP$61,140,FALSE)</f>
        <v>69</v>
      </c>
      <c r="AL165" s="16">
        <f>VLOOKUP($A$163,'集計'!$A$4:$EP$61,144,FALSE)</f>
        <v>86.59</v>
      </c>
    </row>
    <row r="166" spans="1:38" ht="13.5">
      <c r="A166" s="32" t="s">
        <v>24</v>
      </c>
      <c r="B166" s="15">
        <f>VLOOKUP($A$163,'集計'!$A$4:$EP$61,5,FALSE)</f>
        <v>3</v>
      </c>
      <c r="C166" s="16">
        <f>VLOOKUP($A$163,'集計'!$A$4:$EP$61,9,FALSE)</f>
        <v>0.65</v>
      </c>
      <c r="D166" s="15">
        <f>VLOOKUP($A$163,'集計'!$A$4:$EP$61,13,FALSE)</f>
        <v>11</v>
      </c>
      <c r="E166" s="16">
        <f>VLOOKUP($A$163,'集計'!$A$4:$EP$61,17,FALSE)</f>
        <v>22</v>
      </c>
      <c r="F166" s="15">
        <f>VLOOKUP($A$163,'集計'!$A$4:$EP$61,21,FALSE)</f>
        <v>9</v>
      </c>
      <c r="G166" s="16">
        <f>VLOOKUP($A$163,'集計'!$A$4:$EP$61,25,FALSE)</f>
        <v>48.1</v>
      </c>
      <c r="H166" s="15">
        <f>VLOOKUP($A$163,'集計'!$A$4:$EP$61,29,FALSE)</f>
        <v>3</v>
      </c>
      <c r="I166" s="16">
        <f>VLOOKUP($A$163,'集計'!$A$4:$EP$61,33,FALSE)</f>
        <v>104.1</v>
      </c>
      <c r="J166" s="15">
        <f>VLOOKUP($A$163,'集計'!$A$4:$EP$61,37,FALSE)</f>
        <v>0</v>
      </c>
      <c r="K166" s="16">
        <f>VLOOKUP($A$163,'集計'!$A$4:$EP$61,41,FALSE)</f>
        <v>0</v>
      </c>
      <c r="L166" s="15">
        <f>VLOOKUP($A$163,'集計'!$A$4:$EP$61,45,FALSE)</f>
        <v>5</v>
      </c>
      <c r="M166" s="16">
        <f>VLOOKUP($A$163,'集計'!$A$4:$EP$61,49,FALSE)</f>
        <v>165.6</v>
      </c>
      <c r="N166" s="15">
        <f>VLOOKUP($A$163,'集計'!$A$4:$EP$61,53,FALSE)</f>
        <v>0</v>
      </c>
      <c r="O166" s="16">
        <f>VLOOKUP($A$163,'集計'!$A$4:$EP$61,57,FALSE)</f>
        <v>0</v>
      </c>
      <c r="P166" s="15">
        <f>VLOOKUP($A$163,'集計'!$A$4:$EP$61,61,FALSE)</f>
        <v>5</v>
      </c>
      <c r="Q166" s="16">
        <f>VLOOKUP($A$163,'集計'!$A$4:$EP$61,65,FALSE)</f>
        <v>357.9</v>
      </c>
      <c r="R166" s="15">
        <f>VLOOKUP($A$163,'集計'!$A$4:$EP$61,69,FALSE)</f>
        <v>36</v>
      </c>
      <c r="S166" s="16">
        <f>VLOOKUP($A$163,'集計'!$A$4:$EP$61,73,FALSE)</f>
        <v>698.35</v>
      </c>
      <c r="T166" s="32" t="s">
        <v>24</v>
      </c>
      <c r="U166" s="15">
        <f>VLOOKUP($A$163,'集計'!$A$4:$EP$61,77,FALSE)</f>
        <v>3</v>
      </c>
      <c r="V166" s="16">
        <f>VLOOKUP($A$163,'集計'!$A$4:$EP$61,81,FALSE)</f>
        <v>0.65</v>
      </c>
      <c r="W166" s="15">
        <f>VLOOKUP($A$163,'集計'!$A$4:$EP$61,85,FALSE)</f>
        <v>2</v>
      </c>
      <c r="X166" s="16">
        <f>VLOOKUP($A$163,'集計'!$A$4:$EP$61,89,FALSE)</f>
        <v>4.9</v>
      </c>
      <c r="Y166" s="15">
        <f>VLOOKUP($A$163,'集計'!$A$4:$EP$61,93,FALSE)</f>
        <v>4</v>
      </c>
      <c r="Z166" s="16">
        <f>VLOOKUP($A$163,'集計'!$A$4:$EP$61,97,FALSE)</f>
        <v>15.8</v>
      </c>
      <c r="AA166" s="15">
        <f>VLOOKUP($A$163,'集計'!$A$4:$EP$61,101,FALSE)</f>
        <v>2</v>
      </c>
      <c r="AB166" s="16">
        <f>VLOOKUP($A$163,'集計'!$A$4:$EP$61,105,FALSE)</f>
        <v>37.6</v>
      </c>
      <c r="AC166" s="15">
        <f>VLOOKUP($A$163,'集計'!$A$4:$EP$61,109,FALSE)</f>
        <v>0</v>
      </c>
      <c r="AD166" s="16">
        <f>VLOOKUP($A$163,'集計'!$A$4:$EP$61,113,FALSE)</f>
        <v>0</v>
      </c>
      <c r="AE166" s="15">
        <f>VLOOKUP($A$163,'集計'!$A$4:$EP$61,117,FALSE)</f>
        <v>2</v>
      </c>
      <c r="AF166" s="16">
        <f>VLOOKUP($A$163,'集計'!$A$4:$EP$61,121,FALSE)</f>
        <v>79.2</v>
      </c>
      <c r="AG166" s="15">
        <f>VLOOKUP($A$163,'集計'!$A$4:$EP$61,125,FALSE)</f>
        <v>0</v>
      </c>
      <c r="AH166" s="16">
        <f>VLOOKUP($A$163,'集計'!$A$4:$EP$61,129,FALSE)</f>
        <v>0</v>
      </c>
      <c r="AI166" s="15">
        <f>VLOOKUP($A$163,'集計'!$A$4:$EP$61,133,FALSE)</f>
        <v>4</v>
      </c>
      <c r="AJ166" s="16">
        <f>VLOOKUP($A$163,'集計'!$A$4:$EP$61,137,FALSE)</f>
        <v>257.3</v>
      </c>
      <c r="AK166" s="15">
        <f>VLOOKUP($A$163,'集計'!$A$4:$EP$61,141,FALSE)</f>
        <v>17</v>
      </c>
      <c r="AL166" s="16">
        <f>VLOOKUP($A$163,'集計'!$A$4:$EP$61,145,FALSE)</f>
        <v>395.45</v>
      </c>
    </row>
    <row r="167" spans="1:142" ht="13.5">
      <c r="A167" s="32" t="s">
        <v>52</v>
      </c>
      <c r="B167" s="15">
        <f>VLOOKUP($A$167,'集計'!$A$4:$EP$61,6,FALSE)</f>
        <v>1654</v>
      </c>
      <c r="C167" s="16">
        <f>VLOOKUP($A$167,'集計'!$A$4:$EP$61,10,FALSE)</f>
        <v>396.55</v>
      </c>
      <c r="D167" s="15">
        <f>VLOOKUP($A$167,'集計'!$A$4:$EP$61,14,FALSE)</f>
        <v>287</v>
      </c>
      <c r="E167" s="16">
        <f>VLOOKUP($A$167,'集計'!$A$4:$EP$61,18,FALSE)</f>
        <v>607.8</v>
      </c>
      <c r="F167" s="15">
        <f>VLOOKUP($A$167,'集計'!$A$4:$EP$61,22,FALSE)</f>
        <v>76</v>
      </c>
      <c r="G167" s="16">
        <f>VLOOKUP($A$167,'集計'!$A$4:$EP$61,26,FALSE)</f>
        <v>524.5</v>
      </c>
      <c r="H167" s="15">
        <f>VLOOKUP($A$167,'集計'!$A$4:$EP$61,30,FALSE)</f>
        <v>61</v>
      </c>
      <c r="I167" s="16">
        <f>VLOOKUP($A$167,'集計'!$A$4:$EP$61,34,FALSE)</f>
        <v>1497.7</v>
      </c>
      <c r="J167" s="15">
        <f>VLOOKUP($A$167,'集計'!$A$4:$EP$61,38,FALSE)</f>
        <v>14</v>
      </c>
      <c r="K167" s="16">
        <f>VLOOKUP($A$167,'集計'!$A$4:$EP$61,42,FALSE)</f>
        <v>309.3</v>
      </c>
      <c r="L167" s="15">
        <f>VLOOKUP($A$167,'集計'!$A$4:$EP$61,46,FALSE)</f>
        <v>23</v>
      </c>
      <c r="M167" s="16">
        <f>VLOOKUP($A$167,'集計'!$A$4:$EP$61,50,FALSE)</f>
        <v>508.8</v>
      </c>
      <c r="N167" s="15">
        <f>VLOOKUP($A$167,'集計'!$A$4:$EP$61,54,FALSE)</f>
        <v>5</v>
      </c>
      <c r="O167" s="16">
        <f>VLOOKUP($A$167,'集計'!$A$4:$EP$61,58,FALSE)</f>
        <v>9.9</v>
      </c>
      <c r="P167" s="15">
        <f>VLOOKUP($A$167,'集計'!$A$4:$EP$61,62,FALSE)</f>
        <v>13</v>
      </c>
      <c r="Q167" s="16">
        <f>VLOOKUP($A$167,'集計'!$A$4:$EP$61,66,FALSE)</f>
        <v>2368</v>
      </c>
      <c r="R167" s="15">
        <f>VLOOKUP($A$167,'集計'!$A$4:$EP$61,70,FALSE)</f>
        <v>2133</v>
      </c>
      <c r="S167" s="16">
        <f>VLOOKUP($A$167,'集計'!$A$4:$EP$61,74,FALSE)</f>
        <v>6222.55</v>
      </c>
      <c r="T167" s="32" t="s">
        <v>52</v>
      </c>
      <c r="U167" s="15">
        <f>VLOOKUP($A$167,'集計'!$A$4:$EP$61,78,FALSE)</f>
        <v>1555</v>
      </c>
      <c r="V167" s="16">
        <f>VLOOKUP($A$167,'集計'!$A$4:$EP$61,82,FALSE)</f>
        <v>361.72</v>
      </c>
      <c r="W167" s="15">
        <f>VLOOKUP($A$167,'集計'!$A$4:$EP$61,86,FALSE)</f>
        <v>233</v>
      </c>
      <c r="X167" s="16">
        <f>VLOOKUP($A$167,'集計'!$A$4:$EP$61,90,FALSE)</f>
        <v>454.2</v>
      </c>
      <c r="Y167" s="15">
        <f>VLOOKUP($A$167,'集計'!$A$4:$EP$61,94,FALSE)</f>
        <v>64</v>
      </c>
      <c r="Z167" s="16">
        <f>VLOOKUP($A$167,'集計'!$A$4:$EP$61,98,FALSE)</f>
        <v>336.7</v>
      </c>
      <c r="AA167" s="15">
        <f>VLOOKUP($A$167,'集計'!$A$4:$EP$61,102,FALSE)</f>
        <v>57</v>
      </c>
      <c r="AB167" s="16">
        <f>VLOOKUP($A$167,'集計'!$A$4:$EP$61,106,FALSE)</f>
        <v>967.8</v>
      </c>
      <c r="AC167" s="15">
        <f>VLOOKUP($A$167,'集計'!$A$4:$EP$61,110,FALSE)</f>
        <v>13</v>
      </c>
      <c r="AD167" s="16">
        <f>VLOOKUP($A$167,'集計'!$A$4:$EP$61,114,FALSE)</f>
        <v>204.4</v>
      </c>
      <c r="AE167" s="15">
        <f>VLOOKUP($A$167,'集計'!$A$4:$EP$61,118,FALSE)</f>
        <v>20</v>
      </c>
      <c r="AF167" s="16">
        <f>VLOOKUP($A$167,'集計'!$A$4:$EP$61,122,FALSE)</f>
        <v>109.4</v>
      </c>
      <c r="AG167" s="15">
        <f>VLOOKUP($A$167,'集計'!$A$4:$EP$61,126,FALSE)</f>
        <v>4</v>
      </c>
      <c r="AH167" s="16">
        <f>VLOOKUP($A$167,'集計'!$A$4:$EP$61,130,FALSE)</f>
        <v>7.4</v>
      </c>
      <c r="AI167" s="15">
        <f>VLOOKUP($A$167,'集計'!$A$4:$EP$61,134,FALSE)</f>
        <v>13</v>
      </c>
      <c r="AJ167" s="16">
        <f>VLOOKUP($A$167,'集計'!$A$4:$EP$61,138,FALSE)</f>
        <v>1338.4</v>
      </c>
      <c r="AK167" s="15">
        <f>VLOOKUP($A$167,'集計'!$A$4:$EP$61,142,FALSE)</f>
        <v>1959</v>
      </c>
      <c r="AL167" s="16">
        <f>VLOOKUP($A$167,'集計'!$A$4:$EP$61,146,FALSE)</f>
        <v>3780.02</v>
      </c>
      <c r="AM167" s="24"/>
      <c r="AN167" s="24"/>
      <c r="AO167" s="25"/>
      <c r="AP167" s="24"/>
      <c r="AQ167" s="24"/>
      <c r="AR167" s="24"/>
      <c r="AS167" s="24"/>
      <c r="AT167" s="25"/>
      <c r="AU167" s="24"/>
      <c r="AV167" s="24"/>
      <c r="AW167" s="24"/>
      <c r="AX167" s="24"/>
      <c r="AY167" s="24"/>
      <c r="AZ167" s="24"/>
      <c r="BA167" s="24"/>
      <c r="BB167" s="25"/>
      <c r="BC167" s="24"/>
      <c r="BD167" s="24"/>
      <c r="BE167" s="24"/>
      <c r="BF167" s="24"/>
      <c r="BG167" s="24"/>
      <c r="BH167" s="24"/>
      <c r="BI167" s="24"/>
      <c r="BJ167" s="25"/>
      <c r="BK167" s="24"/>
      <c r="BL167" s="24"/>
      <c r="BM167" s="24"/>
      <c r="BN167" s="24"/>
      <c r="BO167" s="24"/>
      <c r="BP167" s="24"/>
      <c r="BQ167" s="24"/>
      <c r="BR167" s="25"/>
      <c r="BS167" s="25"/>
      <c r="BT167" s="25"/>
      <c r="BU167" s="25"/>
      <c r="BV167" s="24"/>
      <c r="BW167" s="25"/>
      <c r="BX167" s="25"/>
      <c r="BY167" s="25"/>
      <c r="BZ167" s="25"/>
      <c r="CA167" s="25"/>
      <c r="CB167" s="25"/>
      <c r="CC167" s="25"/>
      <c r="CD167" s="24"/>
      <c r="CE167" s="25"/>
      <c r="CF167" s="25"/>
      <c r="CG167" s="25"/>
      <c r="CH167" s="25"/>
      <c r="CI167" s="25"/>
      <c r="CJ167" s="25"/>
      <c r="CK167" s="25"/>
      <c r="CL167" s="24"/>
      <c r="CM167" s="25"/>
      <c r="CN167" s="25"/>
      <c r="CO167" s="25"/>
      <c r="CP167" s="25"/>
      <c r="CQ167" s="25"/>
      <c r="CR167" s="25"/>
      <c r="CS167" s="25"/>
      <c r="CT167" s="24"/>
      <c r="CU167" s="25"/>
      <c r="CV167" s="25"/>
      <c r="CW167" s="25"/>
      <c r="CX167" s="25"/>
      <c r="CY167" s="25"/>
      <c r="CZ167" s="25"/>
      <c r="DA167" s="25"/>
      <c r="DB167" s="24"/>
      <c r="DC167" s="25"/>
      <c r="DD167" s="25"/>
      <c r="DE167" s="25"/>
      <c r="DF167" s="25"/>
      <c r="DG167" s="25"/>
      <c r="DH167" s="25"/>
      <c r="DI167" s="25"/>
      <c r="DJ167" s="24"/>
      <c r="DK167" s="25"/>
      <c r="DL167" s="25"/>
      <c r="DM167" s="25"/>
      <c r="DN167" s="25"/>
      <c r="DO167" s="25"/>
      <c r="DP167" s="25"/>
      <c r="DQ167" s="25"/>
      <c r="DR167" s="24"/>
      <c r="DS167" s="25"/>
      <c r="DT167" s="25"/>
      <c r="DU167" s="25"/>
      <c r="DV167" s="25"/>
      <c r="DW167" s="25"/>
      <c r="DX167" s="25"/>
      <c r="DY167" s="25"/>
      <c r="DZ167" s="24"/>
      <c r="EA167" s="25"/>
      <c r="EB167" s="25"/>
      <c r="EC167" s="25"/>
      <c r="ED167" s="25"/>
      <c r="EE167" s="25"/>
      <c r="EF167" s="25"/>
      <c r="EG167" s="25"/>
      <c r="EH167" s="24"/>
      <c r="EI167" s="25"/>
      <c r="EJ167" s="25"/>
      <c r="EK167" s="25"/>
      <c r="EL167" s="25"/>
    </row>
    <row r="168" spans="1:41" ht="13.5">
      <c r="A168" s="32" t="s">
        <v>22</v>
      </c>
      <c r="B168" s="15">
        <f>VLOOKUP($A$167,'集計'!$A$4:$EP$61,3,FALSE)</f>
        <v>1271</v>
      </c>
      <c r="C168" s="16">
        <f>VLOOKUP($A$167,'集計'!$A$4:$EP$61,7,FALSE)</f>
        <v>301.23</v>
      </c>
      <c r="D168" s="15">
        <f>VLOOKUP($A$167,'集計'!$A$4:$EP$61,11,FALSE)</f>
        <v>189</v>
      </c>
      <c r="E168" s="16">
        <f>VLOOKUP($A$167,'集計'!$A$4:$EP$61,15,FALSE)</f>
        <v>360.3</v>
      </c>
      <c r="F168" s="15">
        <f>VLOOKUP($A$167,'集計'!$A$4:$EP$61,19,FALSE)</f>
        <v>41</v>
      </c>
      <c r="G168" s="16">
        <f>VLOOKUP($A$167,'集計'!$A$4:$EP$61,23,FALSE)</f>
        <v>234.1</v>
      </c>
      <c r="H168" s="15">
        <f>VLOOKUP($A$167,'集計'!$A$4:$EP$61,27,FALSE)</f>
        <v>21</v>
      </c>
      <c r="I168" s="16">
        <f>VLOOKUP($A$167,'集計'!$A$4:$EP$61,31,FALSE)</f>
        <v>415.5</v>
      </c>
      <c r="J168" s="15">
        <f>VLOOKUP($A$167,'集計'!$A$4:$EP$61,35,FALSE)</f>
        <v>6</v>
      </c>
      <c r="K168" s="16">
        <f>VLOOKUP($A$167,'集計'!$A$4:$EP$61,39,FALSE)</f>
        <v>86.7</v>
      </c>
      <c r="L168" s="15">
        <f>VLOOKUP($A$167,'集計'!$A$4:$EP$61,43,FALSE)</f>
        <v>11</v>
      </c>
      <c r="M168" s="16">
        <f>VLOOKUP($A$167,'集計'!$A$4:$EP$61,47,FALSE)</f>
        <v>50</v>
      </c>
      <c r="N168" s="15">
        <f>VLOOKUP($A$167,'集計'!$A$4:$EP$61,51,FALSE)</f>
        <v>3</v>
      </c>
      <c r="O168" s="16">
        <f>VLOOKUP($A$167,'集計'!$A$4:$EP$61,55,FALSE)</f>
        <v>3.6</v>
      </c>
      <c r="P168" s="15">
        <f>VLOOKUP($A$167,'集計'!$A$4:$EP$61,59,FALSE)</f>
        <v>1</v>
      </c>
      <c r="Q168" s="16">
        <f>VLOOKUP($A$167,'集計'!$A$4:$EP$61,63,FALSE)</f>
        <v>54.8</v>
      </c>
      <c r="R168" s="15">
        <f>VLOOKUP($A$167,'集計'!$A$4:$EP$61,67,FALSE)</f>
        <v>1543</v>
      </c>
      <c r="S168" s="16">
        <f>VLOOKUP($A$167,'集計'!$A$4:$EP$61,71,FALSE)</f>
        <v>1506.23</v>
      </c>
      <c r="T168" s="32" t="s">
        <v>22</v>
      </c>
      <c r="U168" s="15">
        <f>VLOOKUP($A$167,'集計'!$A$4:$EP$61,75,FALSE)</f>
        <v>1218</v>
      </c>
      <c r="V168" s="16">
        <f>VLOOKUP($A$167,'集計'!$A$4:$EP$61,79,FALSE)</f>
        <v>281.2</v>
      </c>
      <c r="W168" s="15">
        <f>VLOOKUP($A$167,'集計'!$A$4:$EP$61,83,FALSE)</f>
        <v>167</v>
      </c>
      <c r="X168" s="16">
        <f>VLOOKUP($A$167,'集計'!$A$4:$EP$61,87,FALSE)</f>
        <v>287.5</v>
      </c>
      <c r="Y168" s="15">
        <f>VLOOKUP($A$167,'集計'!$A$4:$EP$61,91,FALSE)</f>
        <v>37</v>
      </c>
      <c r="Z168" s="16">
        <f>VLOOKUP($A$167,'集計'!$A$4:$EP$61,95,FALSE)</f>
        <v>181.3</v>
      </c>
      <c r="AA168" s="15">
        <f>VLOOKUP($A$167,'集計'!$A$4:$EP$61,99,FALSE)</f>
        <v>21</v>
      </c>
      <c r="AB168" s="16">
        <f>VLOOKUP($A$167,'集計'!$A$4:$EP$61,103,FALSE)</f>
        <v>303.1</v>
      </c>
      <c r="AC168" s="15">
        <f>VLOOKUP($A$167,'集計'!$A$4:$EP$61,107,FALSE)</f>
        <v>5</v>
      </c>
      <c r="AD168" s="16">
        <f>VLOOKUP($A$167,'集計'!$A$4:$EP$61,111,FALSE)</f>
        <v>51.5</v>
      </c>
      <c r="AE168" s="15">
        <f>VLOOKUP($A$167,'集計'!$A$4:$EP$61,115,FALSE)</f>
        <v>10</v>
      </c>
      <c r="AF168" s="16">
        <f>VLOOKUP($A$167,'集計'!$A$4:$EP$61,119,FALSE)</f>
        <v>38.4</v>
      </c>
      <c r="AG168" s="15">
        <f>VLOOKUP($A$167,'集計'!$A$4:$EP$61,123,FALSE)</f>
        <v>3</v>
      </c>
      <c r="AH168" s="16">
        <f>VLOOKUP($A$167,'集計'!$A$4:$EP$61,127,FALSE)</f>
        <v>3.6</v>
      </c>
      <c r="AI168" s="15">
        <f>VLOOKUP($A$167,'集計'!$A$4:$EP$61,131,FALSE)</f>
        <v>1</v>
      </c>
      <c r="AJ168" s="16">
        <f>VLOOKUP($A$167,'集計'!$A$4:$EP$61,135,FALSE)</f>
        <v>54.8</v>
      </c>
      <c r="AK168" s="15">
        <f>VLOOKUP($A$167,'集計'!$A$4:$EP$61,139,FALSE)</f>
        <v>1462</v>
      </c>
      <c r="AL168" s="16">
        <f>VLOOKUP($A$167,'集計'!$A$4:$EP$61,143,FALSE)</f>
        <v>1201.4</v>
      </c>
      <c r="AN168" s="24"/>
      <c r="AO168" s="25"/>
    </row>
    <row r="169" spans="1:41" ht="13.5">
      <c r="A169" s="32" t="s">
        <v>23</v>
      </c>
      <c r="B169" s="15">
        <f>VLOOKUP($A$167,'集計'!$A$4:$EP$61,4,FALSE)</f>
        <v>316</v>
      </c>
      <c r="C169" s="16">
        <f>VLOOKUP($A$167,'集計'!$A$4:$EP$61,8,FALSE)</f>
        <v>79.05</v>
      </c>
      <c r="D169" s="15">
        <f>VLOOKUP($A$167,'集計'!$A$4:$EP$61,(12),FALSE)</f>
        <v>69</v>
      </c>
      <c r="E169" s="16">
        <f>VLOOKUP($A$167,'集計'!$A$4:$EP$61,16,FALSE)</f>
        <v>183.7</v>
      </c>
      <c r="F169" s="15">
        <f>VLOOKUP($A$167,'集計'!$A$4:$EP$61,20,FALSE)</f>
        <v>19</v>
      </c>
      <c r="G169" s="16">
        <f>VLOOKUP($A$167,'集計'!$A$4:$EP$61,24,FALSE)</f>
        <v>143.3</v>
      </c>
      <c r="H169" s="15">
        <f>VLOOKUP($A$167,'集計'!$A$4:$EP$61,28,FALSE)</f>
        <v>13</v>
      </c>
      <c r="I169" s="16">
        <f>VLOOKUP($A$167,'集計'!$A$4:$EP$61,32,FALSE)</f>
        <v>267.1</v>
      </c>
      <c r="J169" s="15">
        <f>VLOOKUP($A$167,'集計'!$A$4:$EP$61,36,FALSE)</f>
        <v>4</v>
      </c>
      <c r="K169" s="16">
        <f>VLOOKUP($A$167,'集計'!$A$4:$EP$61,40,FALSE)</f>
        <v>117.6</v>
      </c>
      <c r="L169" s="15">
        <f>VLOOKUP($A$167,'集計'!$A$4:$EP$61,44,FALSE)</f>
        <v>3</v>
      </c>
      <c r="M169" s="16">
        <f>VLOOKUP($A$167,'集計'!$A$4:$EP$61,48,FALSE)</f>
        <v>52.1</v>
      </c>
      <c r="N169" s="15">
        <f>VLOOKUP($A$167,'集計'!$A$4:$EP$61,52,FALSE)</f>
        <v>1</v>
      </c>
      <c r="O169" s="16">
        <f>VLOOKUP($A$167,'集計'!$A$4:$EP$61,56,FALSE)</f>
        <v>2.4</v>
      </c>
      <c r="P169" s="15">
        <f>VLOOKUP($A$167,'集計'!$A$4:$EP$61,60,FALSE)</f>
        <v>1</v>
      </c>
      <c r="Q169" s="16">
        <f>VLOOKUP($A$167,'集計'!$A$4:$EP$61,64,FALSE)</f>
        <v>0.3</v>
      </c>
      <c r="R169" s="15">
        <f>VLOOKUP($A$167,'集計'!$A$4:$EP$61,68,FALSE)</f>
        <v>426</v>
      </c>
      <c r="S169" s="16">
        <f>VLOOKUP($A$167,'集計'!$A$4:$EP$61,72,FALSE)</f>
        <v>845.55</v>
      </c>
      <c r="T169" s="32" t="s">
        <v>23</v>
      </c>
      <c r="U169" s="15">
        <f>VLOOKUP($A$167,'集計'!$A$4:$EP$61,76,FALSE)</f>
        <v>267</v>
      </c>
      <c r="V169" s="16">
        <f>VLOOKUP($A$167,'集計'!$A$4:$EP$61,80,FALSE)</f>
        <v>65.22</v>
      </c>
      <c r="W169" s="15">
        <f>VLOOKUP($A$167,'集計'!$A$4:$EP$61,84,FALSE)</f>
        <v>53</v>
      </c>
      <c r="X169" s="16">
        <f>VLOOKUP($A$167,'集計'!$A$4:$EP$61,88,FALSE)</f>
        <v>145.9</v>
      </c>
      <c r="Y169" s="15">
        <f>VLOOKUP($A$167,'集計'!$A$4:$EP$61,92,FALSE)</f>
        <v>17</v>
      </c>
      <c r="Z169" s="16">
        <f>VLOOKUP($A$167,'集計'!$A$4:$EP$61,96,FALSE)</f>
        <v>117.8</v>
      </c>
      <c r="AA169" s="15">
        <f>VLOOKUP($A$167,'集計'!$A$4:$EP$61,100,FALSE)</f>
        <v>12</v>
      </c>
      <c r="AB169" s="16">
        <f>VLOOKUP($A$167,'集計'!$A$4:$EP$61,104,FALSE)</f>
        <v>200.9</v>
      </c>
      <c r="AC169" s="15">
        <f>VLOOKUP($A$167,'集計'!$A$4:$EP$61,108,FALSE)</f>
        <v>4</v>
      </c>
      <c r="AD169" s="16">
        <f>VLOOKUP($A$167,'集計'!$A$4:$EP$61,112,FALSE)</f>
        <v>84.4</v>
      </c>
      <c r="AE169" s="15">
        <f>VLOOKUP($A$167,'集計'!$A$4:$EP$61,116,FALSE)</f>
        <v>1</v>
      </c>
      <c r="AF169" s="16">
        <f>VLOOKUP($A$167,'集計'!$A$4:$EP$61,120,FALSE)</f>
        <v>5.9</v>
      </c>
      <c r="AG169" s="15">
        <f>VLOOKUP($A$167,'集計'!$A$4:$EP$61,124,FALSE)</f>
        <v>0</v>
      </c>
      <c r="AH169" s="16">
        <f>VLOOKUP($A$167,'集計'!$A$4:$EP$61,128,FALSE)</f>
        <v>0</v>
      </c>
      <c r="AI169" s="15">
        <f>VLOOKUP($A$167,'集計'!$A$4:$EP$61,132,FALSE)</f>
        <v>1</v>
      </c>
      <c r="AJ169" s="16">
        <f>VLOOKUP($A$167,'集計'!$A$4:$EP$61,136,FALSE)</f>
        <v>0.3</v>
      </c>
      <c r="AK169" s="15">
        <f>VLOOKUP($A$167,'集計'!$A$4:$EP$61,140,FALSE)</f>
        <v>355</v>
      </c>
      <c r="AL169" s="16">
        <f>VLOOKUP($A$167,'集計'!$A$4:$EP$61,144,FALSE)</f>
        <v>620.42</v>
      </c>
      <c r="AN169" s="24"/>
      <c r="AO169" s="25"/>
    </row>
    <row r="170" spans="1:41" ht="13.5">
      <c r="A170" s="32" t="s">
        <v>24</v>
      </c>
      <c r="B170" s="15">
        <f>VLOOKUP($A$167,'集計'!$A$4:$EP$61,5,FALSE)</f>
        <v>67</v>
      </c>
      <c r="C170" s="16">
        <f>VLOOKUP($A$167,'集計'!$A$4:$EP$61,9,FALSE)</f>
        <v>16.27</v>
      </c>
      <c r="D170" s="15">
        <f>VLOOKUP($A$167,'集計'!$A$4:$EP$61,13,FALSE)</f>
        <v>29</v>
      </c>
      <c r="E170" s="16">
        <f>VLOOKUP($A$167,'集計'!$A$4:$EP$61,17,FALSE)</f>
        <v>63.8</v>
      </c>
      <c r="F170" s="15">
        <f>VLOOKUP($A$167,'集計'!$A$4:$EP$61,21,FALSE)</f>
        <v>16</v>
      </c>
      <c r="G170" s="16">
        <f>VLOOKUP($A$167,'集計'!$A$4:$EP$61,25,FALSE)</f>
        <v>147.1</v>
      </c>
      <c r="H170" s="15">
        <f>VLOOKUP($A$167,'集計'!$A$4:$EP$61,29,FALSE)</f>
        <v>27</v>
      </c>
      <c r="I170" s="16">
        <f>VLOOKUP($A$167,'集計'!$A$4:$EP$61,33,FALSE)</f>
        <v>815.1</v>
      </c>
      <c r="J170" s="15">
        <f>VLOOKUP($A$167,'集計'!$A$4:$EP$61,37,FALSE)</f>
        <v>4</v>
      </c>
      <c r="K170" s="16">
        <f>VLOOKUP($A$167,'集計'!$A$4:$EP$61,41,FALSE)</f>
        <v>105</v>
      </c>
      <c r="L170" s="15">
        <f>VLOOKUP($A$167,'集計'!$A$4:$EP$61,45,FALSE)</f>
        <v>9</v>
      </c>
      <c r="M170" s="16">
        <f>VLOOKUP($A$167,'集計'!$A$4:$EP$61,49,FALSE)</f>
        <v>406.7</v>
      </c>
      <c r="N170" s="15">
        <f>VLOOKUP($A$167,'集計'!$A$4:$EP$61,53,FALSE)</f>
        <v>1</v>
      </c>
      <c r="O170" s="16">
        <f>VLOOKUP($A$167,'集計'!$A$4:$EP$61,57,FALSE)</f>
        <v>3.9</v>
      </c>
      <c r="P170" s="15">
        <f>VLOOKUP($A$167,'集計'!$A$4:$EP$61,61,FALSE)</f>
        <v>11</v>
      </c>
      <c r="Q170" s="16">
        <f>VLOOKUP($A$167,'集計'!$A$4:$EP$61,65,FALSE)</f>
        <v>2312.9</v>
      </c>
      <c r="R170" s="15">
        <f>VLOOKUP($A$167,'集計'!$A$4:$EP$61,69,FALSE)</f>
        <v>164</v>
      </c>
      <c r="S170" s="16">
        <f>VLOOKUP($A$167,'集計'!$A$4:$EP$61,73,FALSE)</f>
        <v>3870.77</v>
      </c>
      <c r="T170" s="32" t="s">
        <v>24</v>
      </c>
      <c r="U170" s="15">
        <f>VLOOKUP($A$167,'集計'!$A$4:$EP$61,77,FALSE)</f>
        <v>70</v>
      </c>
      <c r="V170" s="16">
        <f>VLOOKUP($A$167,'集計'!$A$4:$EP$61,81,FALSE)</f>
        <v>15.3</v>
      </c>
      <c r="W170" s="15">
        <f>VLOOKUP($A$167,'集計'!$A$4:$EP$61,85,FALSE)</f>
        <v>13</v>
      </c>
      <c r="X170" s="16">
        <f>VLOOKUP($A$167,'集計'!$A$4:$EP$61,89,FALSE)</f>
        <v>20.8</v>
      </c>
      <c r="Y170" s="15">
        <f>VLOOKUP($A$167,'集計'!$A$4:$EP$61,93,FALSE)</f>
        <v>10</v>
      </c>
      <c r="Z170" s="16">
        <f>VLOOKUP($A$167,'集計'!$A$4:$EP$61,97,FALSE)</f>
        <v>37.6</v>
      </c>
      <c r="AA170" s="15">
        <f>VLOOKUP($A$167,'集計'!$A$4:$EP$61,101,FALSE)</f>
        <v>24</v>
      </c>
      <c r="AB170" s="16">
        <f>VLOOKUP($A$167,'集計'!$A$4:$EP$61,105,FALSE)</f>
        <v>463.8</v>
      </c>
      <c r="AC170" s="15">
        <f>VLOOKUP($A$167,'集計'!$A$4:$EP$61,109,FALSE)</f>
        <v>4</v>
      </c>
      <c r="AD170" s="16">
        <f>VLOOKUP($A$167,'集計'!$A$4:$EP$61,113,FALSE)</f>
        <v>68.5</v>
      </c>
      <c r="AE170" s="15">
        <f>VLOOKUP($A$167,'集計'!$A$4:$EP$61,117,FALSE)</f>
        <v>9</v>
      </c>
      <c r="AF170" s="16">
        <f>VLOOKUP($A$167,'集計'!$A$4:$EP$61,121,FALSE)</f>
        <v>65.1</v>
      </c>
      <c r="AG170" s="15">
        <f>VLOOKUP($A$167,'集計'!$A$4:$EP$61,125,FALSE)</f>
        <v>1</v>
      </c>
      <c r="AH170" s="16">
        <f>VLOOKUP($A$167,'集計'!$A$4:$EP$61,129,FALSE)</f>
        <v>3.8</v>
      </c>
      <c r="AI170" s="15">
        <f>VLOOKUP($A$167,'集計'!$A$4:$EP$61,133,FALSE)</f>
        <v>11</v>
      </c>
      <c r="AJ170" s="16">
        <f>VLOOKUP($A$167,'集計'!$A$4:$EP$61,137,FALSE)</f>
        <v>1283.3</v>
      </c>
      <c r="AK170" s="15">
        <f>VLOOKUP($A$167,'集計'!$A$4:$EP$61,141,FALSE)</f>
        <v>142</v>
      </c>
      <c r="AL170" s="16">
        <f>VLOOKUP($A$167,'集計'!$A$4:$EP$61,145,FALSE)</f>
        <v>1958.2</v>
      </c>
      <c r="AN170" s="24"/>
      <c r="AO170" s="25"/>
    </row>
    <row r="171" spans="1:38" ht="13.5">
      <c r="A171" s="32" t="s">
        <v>53</v>
      </c>
      <c r="B171" s="15">
        <f>VLOOKUP($A$171,'集計'!$A$4:$EP$61,6,FALSE)</f>
        <v>168</v>
      </c>
      <c r="C171" s="16">
        <f>VLOOKUP($A$171,'集計'!$A$4:$EP$61,10,FALSE)</f>
        <v>46</v>
      </c>
      <c r="D171" s="15">
        <f>VLOOKUP($A$171,'集計'!$A$4:$EP$61,14,FALSE)</f>
        <v>56</v>
      </c>
      <c r="E171" s="16">
        <f>VLOOKUP($A$171,'集計'!$A$4:$EP$61,18,FALSE)</f>
        <v>109.4</v>
      </c>
      <c r="F171" s="15">
        <f>VLOOKUP($A$171,'集計'!$A$4:$EP$61,22,FALSE)</f>
        <v>23</v>
      </c>
      <c r="G171" s="16">
        <f>VLOOKUP($A$171,'集計'!$A$4:$EP$61,26,FALSE)</f>
        <v>132.2</v>
      </c>
      <c r="H171" s="15">
        <f>VLOOKUP($A$171,'集計'!$A$4:$EP$61,30,FALSE)</f>
        <v>14</v>
      </c>
      <c r="I171" s="16">
        <f>VLOOKUP($A$171,'集計'!$A$4:$EP$61,34,FALSE)</f>
        <v>261.4</v>
      </c>
      <c r="J171" s="15">
        <f>VLOOKUP($A$171,'集計'!$A$4:$EP$61,38,FALSE)</f>
        <v>6</v>
      </c>
      <c r="K171" s="16">
        <f>VLOOKUP($A$171,'集計'!$A$4:$EP$61,42,FALSE)</f>
        <v>97.3</v>
      </c>
      <c r="L171" s="15">
        <f>VLOOKUP($A$171,'集計'!$A$4:$EP$61,46,FALSE)</f>
        <v>4</v>
      </c>
      <c r="M171" s="16">
        <f>VLOOKUP($A$171,'集計'!$A$4:$EP$61,50,FALSE)</f>
        <v>29.3</v>
      </c>
      <c r="N171" s="15">
        <f>VLOOKUP($A$171,'集計'!$A$4:$EP$61,54,FALSE)</f>
        <v>4</v>
      </c>
      <c r="O171" s="16">
        <f>VLOOKUP($A$171,'集計'!$A$4:$EP$61,58,FALSE)</f>
        <v>211.2</v>
      </c>
      <c r="P171" s="15">
        <f>VLOOKUP($A$171,'集計'!$A$4:$EP$61,62,FALSE)</f>
        <v>2</v>
      </c>
      <c r="Q171" s="16">
        <f>VLOOKUP($A$171,'集計'!$A$4:$EP$61,66,FALSE)</f>
        <v>710.3</v>
      </c>
      <c r="R171" s="15">
        <f>VLOOKUP($A$171,'集計'!$A$4:$EP$61,70,FALSE)</f>
        <v>277</v>
      </c>
      <c r="S171" s="16">
        <f>VLOOKUP($A$171,'集計'!$A$4:$EP$61,74,FALSE)</f>
        <v>1597.1</v>
      </c>
      <c r="T171" s="32" t="s">
        <v>53</v>
      </c>
      <c r="U171" s="15">
        <f>VLOOKUP($A$171,'集計'!$A$4:$EP$61,78,FALSE)</f>
        <v>167</v>
      </c>
      <c r="V171" s="16">
        <f>VLOOKUP($A$171,'集計'!$A$4:$EP$61,82,FALSE)</f>
        <v>42.24</v>
      </c>
      <c r="W171" s="15">
        <f>VLOOKUP($A$171,'集計'!$A$4:$EP$61,86,FALSE)</f>
        <v>55</v>
      </c>
      <c r="X171" s="16">
        <f>VLOOKUP($A$171,'集計'!$A$4:$EP$61,90,FALSE)</f>
        <v>104.8</v>
      </c>
      <c r="Y171" s="15">
        <f>VLOOKUP($A$171,'集計'!$A$4:$EP$61,94,FALSE)</f>
        <v>22</v>
      </c>
      <c r="Z171" s="16">
        <f>VLOOKUP($A$171,'集計'!$A$4:$EP$61,98,FALSE)</f>
        <v>115.3</v>
      </c>
      <c r="AA171" s="15">
        <f>VLOOKUP($A$171,'集計'!$A$4:$EP$61,102,FALSE)</f>
        <v>13</v>
      </c>
      <c r="AB171" s="16">
        <f>VLOOKUP($A$171,'集計'!$A$4:$EP$61,106,FALSE)</f>
        <v>172.6</v>
      </c>
      <c r="AC171" s="15">
        <f>VLOOKUP($A$171,'集計'!$A$4:$EP$61,110,FALSE)</f>
        <v>5</v>
      </c>
      <c r="AD171" s="16">
        <f>VLOOKUP($A$171,'集計'!$A$4:$EP$61,114,FALSE)</f>
        <v>60.4</v>
      </c>
      <c r="AE171" s="15">
        <f>VLOOKUP($A$171,'集計'!$A$4:$EP$61,118,FALSE)</f>
        <v>4</v>
      </c>
      <c r="AF171" s="16">
        <f>VLOOKUP($A$171,'集計'!$A$4:$EP$61,122,FALSE)</f>
        <v>29.3</v>
      </c>
      <c r="AG171" s="15">
        <f>VLOOKUP($A$171,'集計'!$A$4:$EP$61,126,FALSE)</f>
        <v>5</v>
      </c>
      <c r="AH171" s="16">
        <f>VLOOKUP($A$171,'集計'!$A$4:$EP$61,130,FALSE)</f>
        <v>56</v>
      </c>
      <c r="AI171" s="15">
        <f>VLOOKUP($A$171,'集計'!$A$4:$EP$61,134,FALSE)</f>
        <v>2</v>
      </c>
      <c r="AJ171" s="16">
        <f>VLOOKUP($A$171,'集計'!$A$4:$EP$61,138,FALSE)</f>
        <v>558.6</v>
      </c>
      <c r="AK171" s="15">
        <f>VLOOKUP($A$171,'集計'!$A$4:$EP$61,142,FALSE)</f>
        <v>273</v>
      </c>
      <c r="AL171" s="16">
        <f>VLOOKUP($A$171,'集計'!$A$4:$EP$61,146,FALSE)</f>
        <v>1139.24</v>
      </c>
    </row>
    <row r="172" spans="1:38" ht="13.5">
      <c r="A172" s="32" t="s">
        <v>22</v>
      </c>
      <c r="B172" s="15">
        <f>VLOOKUP($A$171,'集計'!$A$4:$EP$61,3,FALSE)</f>
        <v>90</v>
      </c>
      <c r="C172" s="16">
        <f>VLOOKUP($A$171,'集計'!$A$4:$EP$61,7,FALSE)</f>
        <v>23.89</v>
      </c>
      <c r="D172" s="15">
        <f>VLOOKUP($A$171,'集計'!$A$4:$EP$61,11,FALSE)</f>
        <v>27</v>
      </c>
      <c r="E172" s="16">
        <f>VLOOKUP($A$171,'集計'!$A$4:$EP$61,15,FALSE)</f>
        <v>52.2</v>
      </c>
      <c r="F172" s="15">
        <f>VLOOKUP($A$171,'集計'!$A$4:$EP$61,19,FALSE)</f>
        <v>8</v>
      </c>
      <c r="G172" s="16">
        <f>VLOOKUP($A$171,'集計'!$A$4:$EP$61,23,FALSE)</f>
        <v>41</v>
      </c>
      <c r="H172" s="15">
        <f>VLOOKUP($A$171,'集計'!$A$4:$EP$61,27,FALSE)</f>
        <v>2</v>
      </c>
      <c r="I172" s="16">
        <f>VLOOKUP($A$171,'集計'!$A$4:$EP$61,31,FALSE)</f>
        <v>35.9</v>
      </c>
      <c r="J172" s="15">
        <f>VLOOKUP($A$171,'集計'!$A$4:$EP$61,35,FALSE)</f>
        <v>1</v>
      </c>
      <c r="K172" s="16">
        <f>VLOOKUP($A$171,'集計'!$A$4:$EP$61,39,FALSE)</f>
        <v>31</v>
      </c>
      <c r="L172" s="15">
        <f>VLOOKUP($A$171,'集計'!$A$4:$EP$61,43,FALSE)</f>
        <v>0</v>
      </c>
      <c r="M172" s="16">
        <f>VLOOKUP($A$171,'集計'!$A$4:$EP$61,47,FALSE)</f>
        <v>0</v>
      </c>
      <c r="N172" s="15">
        <f>VLOOKUP($A$171,'集計'!$A$4:$EP$61,51,FALSE)</f>
        <v>1</v>
      </c>
      <c r="O172" s="16">
        <f>VLOOKUP($A$171,'集計'!$A$4:$EP$61,55,FALSE)</f>
        <v>17.2</v>
      </c>
      <c r="P172" s="15">
        <f>VLOOKUP($A$171,'集計'!$A$4:$EP$61,59,FALSE)</f>
        <v>0</v>
      </c>
      <c r="Q172" s="16">
        <f>VLOOKUP($A$171,'集計'!$A$4:$EP$61,63,FALSE)</f>
        <v>0</v>
      </c>
      <c r="R172" s="15">
        <f>VLOOKUP($A$171,'集計'!$A$4:$EP$61,67,FALSE)</f>
        <v>129</v>
      </c>
      <c r="S172" s="16">
        <f>VLOOKUP($A$171,'集計'!$A$4:$EP$61,71,FALSE)</f>
        <v>201.19</v>
      </c>
      <c r="T172" s="32" t="s">
        <v>22</v>
      </c>
      <c r="U172" s="15">
        <f>VLOOKUP($A$171,'集計'!$A$4:$EP$61,75,FALSE)</f>
        <v>87</v>
      </c>
      <c r="V172" s="16">
        <f>VLOOKUP($A$171,'集計'!$A$4:$EP$61,79,FALSE)</f>
        <v>21.1</v>
      </c>
      <c r="W172" s="15">
        <f>VLOOKUP($A$171,'集計'!$A$4:$EP$61,83,FALSE)</f>
        <v>26</v>
      </c>
      <c r="X172" s="16">
        <f>VLOOKUP($A$171,'集計'!$A$4:$EP$61,87,FALSE)</f>
        <v>48</v>
      </c>
      <c r="Y172" s="15">
        <f>VLOOKUP($A$171,'集計'!$A$4:$EP$61,91,FALSE)</f>
        <v>7</v>
      </c>
      <c r="Z172" s="16">
        <f>VLOOKUP($A$171,'集計'!$A$4:$EP$61,95,FALSE)</f>
        <v>30.3</v>
      </c>
      <c r="AA172" s="15">
        <f>VLOOKUP($A$171,'集計'!$A$4:$EP$61,99,FALSE)</f>
        <v>2</v>
      </c>
      <c r="AB172" s="16">
        <f>VLOOKUP($A$171,'集計'!$A$4:$EP$61,103,FALSE)</f>
        <v>33.8</v>
      </c>
      <c r="AC172" s="15">
        <f>VLOOKUP($A$171,'集計'!$A$4:$EP$61,107,FALSE)</f>
        <v>1</v>
      </c>
      <c r="AD172" s="16">
        <f>VLOOKUP($A$171,'集計'!$A$4:$EP$61,111,FALSE)</f>
        <v>30.1</v>
      </c>
      <c r="AE172" s="15">
        <f>VLOOKUP($A$171,'集計'!$A$4:$EP$61,115,FALSE)</f>
        <v>0</v>
      </c>
      <c r="AF172" s="16">
        <f>VLOOKUP($A$171,'集計'!$A$4:$EP$61,119,FALSE)</f>
        <v>0</v>
      </c>
      <c r="AG172" s="15">
        <f>VLOOKUP($A$171,'集計'!$A$4:$EP$61,123,FALSE)</f>
        <v>1</v>
      </c>
      <c r="AH172" s="16">
        <f>VLOOKUP($A$171,'集計'!$A$4:$EP$61,127,FALSE)</f>
        <v>0.7</v>
      </c>
      <c r="AI172" s="15">
        <f>VLOOKUP($A$171,'集計'!$A$4:$EP$61,131,FALSE)</f>
        <v>0</v>
      </c>
      <c r="AJ172" s="16">
        <f>VLOOKUP($A$171,'集計'!$A$4:$EP$61,135,FALSE)</f>
        <v>0</v>
      </c>
      <c r="AK172" s="15">
        <f>VLOOKUP($A$171,'集計'!$A$4:$EP$61,139,FALSE)</f>
        <v>124</v>
      </c>
      <c r="AL172" s="16">
        <f>VLOOKUP($A$171,'集計'!$A$4:$EP$61,143,FALSE)</f>
        <v>164</v>
      </c>
    </row>
    <row r="173" spans="1:38" ht="13.5">
      <c r="A173" s="32" t="s">
        <v>23</v>
      </c>
      <c r="B173" s="15">
        <f>VLOOKUP($A$171,'集計'!$A$4:$EP$61,4,FALSE)</f>
        <v>65</v>
      </c>
      <c r="C173" s="16">
        <f>VLOOKUP($A$171,'集計'!$A$4:$EP$61,8,FALSE)</f>
        <v>18.15</v>
      </c>
      <c r="D173" s="15">
        <f>VLOOKUP($A$171,'集計'!$A$4:$EP$61,(12),FALSE)</f>
        <v>19</v>
      </c>
      <c r="E173" s="16">
        <f>VLOOKUP($A$171,'集計'!$A$4:$EP$61,16,FALSE)</f>
        <v>36.9</v>
      </c>
      <c r="F173" s="15">
        <f>VLOOKUP($A$171,'集計'!$A$4:$EP$61,20,FALSE)</f>
        <v>6</v>
      </c>
      <c r="G173" s="16">
        <f>VLOOKUP($A$171,'集計'!$A$4:$EP$61,24,FALSE)</f>
        <v>38.9</v>
      </c>
      <c r="H173" s="15">
        <f>VLOOKUP($A$171,'集計'!$A$4:$EP$61,28,FALSE)</f>
        <v>2</v>
      </c>
      <c r="I173" s="16">
        <f>VLOOKUP($A$171,'集計'!$A$4:$EP$61,32,FALSE)</f>
        <v>12.9</v>
      </c>
      <c r="J173" s="15">
        <f>VLOOKUP($A$171,'集計'!$A$4:$EP$61,36,FALSE)</f>
        <v>1</v>
      </c>
      <c r="K173" s="16">
        <f>VLOOKUP($A$171,'集計'!$A$4:$EP$61,40,FALSE)</f>
        <v>10.3</v>
      </c>
      <c r="L173" s="15">
        <f>VLOOKUP($A$171,'集計'!$A$4:$EP$61,44,FALSE)</f>
        <v>0</v>
      </c>
      <c r="M173" s="16">
        <f>VLOOKUP($A$171,'集計'!$A$4:$EP$61,48,FALSE)</f>
        <v>0</v>
      </c>
      <c r="N173" s="15">
        <f>VLOOKUP($A$171,'集計'!$A$4:$EP$61,52,FALSE)</f>
        <v>0</v>
      </c>
      <c r="O173" s="16">
        <f>VLOOKUP($A$171,'集計'!$A$4:$EP$61,56,FALSE)</f>
        <v>0</v>
      </c>
      <c r="P173" s="15">
        <f>VLOOKUP($A$171,'集計'!$A$4:$EP$61,60,FALSE)</f>
        <v>0</v>
      </c>
      <c r="Q173" s="16">
        <f>VLOOKUP($A$171,'集計'!$A$4:$EP$61,64,FALSE)</f>
        <v>0</v>
      </c>
      <c r="R173" s="15">
        <f>VLOOKUP($A$171,'集計'!$A$4:$EP$61,68,FALSE)</f>
        <v>93</v>
      </c>
      <c r="S173" s="16">
        <f>VLOOKUP($A$171,'集計'!$A$4:$EP$61,72,FALSE)</f>
        <v>117.15</v>
      </c>
      <c r="T173" s="32" t="s">
        <v>23</v>
      </c>
      <c r="U173" s="15">
        <f>VLOOKUP($A$171,'集計'!$A$4:$EP$61,76,FALSE)</f>
        <v>66</v>
      </c>
      <c r="V173" s="16">
        <f>VLOOKUP($A$171,'集計'!$A$4:$EP$61,80,FALSE)</f>
        <v>17.28</v>
      </c>
      <c r="W173" s="15">
        <f>VLOOKUP($A$171,'集計'!$A$4:$EP$61,84,FALSE)</f>
        <v>19</v>
      </c>
      <c r="X173" s="16">
        <f>VLOOKUP($A$171,'集計'!$A$4:$EP$61,88,FALSE)</f>
        <v>36.5</v>
      </c>
      <c r="Y173" s="15">
        <f>VLOOKUP($A$171,'集計'!$A$4:$EP$61,92,FALSE)</f>
        <v>6</v>
      </c>
      <c r="Z173" s="16">
        <f>VLOOKUP($A$171,'集計'!$A$4:$EP$61,96,FALSE)</f>
        <v>35.5</v>
      </c>
      <c r="AA173" s="15">
        <f>VLOOKUP($A$171,'集計'!$A$4:$EP$61,100,FALSE)</f>
        <v>2</v>
      </c>
      <c r="AB173" s="16">
        <f>VLOOKUP($A$171,'集計'!$A$4:$EP$61,104,FALSE)</f>
        <v>3.9</v>
      </c>
      <c r="AC173" s="15">
        <f>VLOOKUP($A$171,'集計'!$A$4:$EP$61,108,FALSE)</f>
        <v>1</v>
      </c>
      <c r="AD173" s="16">
        <f>VLOOKUP($A$171,'集計'!$A$4:$EP$61,112,FALSE)</f>
        <v>9.3</v>
      </c>
      <c r="AE173" s="15">
        <f>VLOOKUP($A$171,'集計'!$A$4:$EP$61,116,FALSE)</f>
        <v>0</v>
      </c>
      <c r="AF173" s="16">
        <f>VLOOKUP($A$171,'集計'!$A$4:$EP$61,120,FALSE)</f>
        <v>0</v>
      </c>
      <c r="AG173" s="15">
        <f>VLOOKUP($A$171,'集計'!$A$4:$EP$61,124,FALSE)</f>
        <v>0</v>
      </c>
      <c r="AH173" s="16">
        <f>VLOOKUP($A$171,'集計'!$A$4:$EP$61,128,FALSE)</f>
        <v>0</v>
      </c>
      <c r="AI173" s="15">
        <f>VLOOKUP($A$171,'集計'!$A$4:$EP$61,132,FALSE)</f>
        <v>0</v>
      </c>
      <c r="AJ173" s="16">
        <f>VLOOKUP($A$171,'集計'!$A$4:$EP$61,136,FALSE)</f>
        <v>0</v>
      </c>
      <c r="AK173" s="15">
        <f>VLOOKUP($A$171,'集計'!$A$4:$EP$61,140,FALSE)</f>
        <v>94</v>
      </c>
      <c r="AL173" s="16">
        <f>VLOOKUP($A$171,'集計'!$A$4:$EP$61,144,FALSE)</f>
        <v>102.48</v>
      </c>
    </row>
    <row r="174" spans="1:38" ht="13.5">
      <c r="A174" s="32" t="s">
        <v>24</v>
      </c>
      <c r="B174" s="15">
        <f>VLOOKUP($A$171,'集計'!$A$4:$EP$61,5,FALSE)</f>
        <v>13</v>
      </c>
      <c r="C174" s="16">
        <f>VLOOKUP($A$171,'集計'!$A$4:$EP$61,9,FALSE)</f>
        <v>3.96</v>
      </c>
      <c r="D174" s="15">
        <f>VLOOKUP($A$171,'集計'!$A$4:$EP$61,13,FALSE)</f>
        <v>10</v>
      </c>
      <c r="E174" s="16">
        <f>VLOOKUP($A$171,'集計'!$A$4:$EP$61,17,FALSE)</f>
        <v>20.3</v>
      </c>
      <c r="F174" s="15">
        <f>VLOOKUP($A$171,'集計'!$A$4:$EP$61,21,FALSE)</f>
        <v>9</v>
      </c>
      <c r="G174" s="16">
        <f>VLOOKUP($A$171,'集計'!$A$4:$EP$61,25,FALSE)</f>
        <v>52.3</v>
      </c>
      <c r="H174" s="15">
        <f>VLOOKUP($A$171,'集計'!$A$4:$EP$61,29,FALSE)</f>
        <v>10</v>
      </c>
      <c r="I174" s="16">
        <f>VLOOKUP($A$171,'集計'!$A$4:$EP$61,33,FALSE)</f>
        <v>212.6</v>
      </c>
      <c r="J174" s="15">
        <f>VLOOKUP($A$171,'集計'!$A$4:$EP$61,37,FALSE)</f>
        <v>4</v>
      </c>
      <c r="K174" s="16">
        <f>VLOOKUP($A$171,'集計'!$A$4:$EP$61,41,FALSE)</f>
        <v>56</v>
      </c>
      <c r="L174" s="15">
        <f>VLOOKUP($A$171,'集計'!$A$4:$EP$61,45,FALSE)</f>
        <v>4</v>
      </c>
      <c r="M174" s="16">
        <f>VLOOKUP($A$171,'集計'!$A$4:$EP$61,49,FALSE)</f>
        <v>29.3</v>
      </c>
      <c r="N174" s="15">
        <f>VLOOKUP($A$171,'集計'!$A$4:$EP$61,53,FALSE)</f>
        <v>3</v>
      </c>
      <c r="O174" s="16">
        <f>VLOOKUP($A$171,'集計'!$A$4:$EP$61,57,FALSE)</f>
        <v>194</v>
      </c>
      <c r="P174" s="15">
        <f>VLOOKUP($A$171,'集計'!$A$4:$EP$61,61,FALSE)</f>
        <v>2</v>
      </c>
      <c r="Q174" s="16">
        <f>VLOOKUP($A$171,'集計'!$A$4:$EP$61,65,FALSE)</f>
        <v>710.3</v>
      </c>
      <c r="R174" s="15">
        <f>VLOOKUP($A$171,'集計'!$A$4:$EP$61,69,FALSE)</f>
        <v>55</v>
      </c>
      <c r="S174" s="16">
        <f>VLOOKUP($A$171,'集計'!$A$4:$EP$61,73,FALSE)</f>
        <v>1278.76</v>
      </c>
      <c r="T174" s="32" t="s">
        <v>24</v>
      </c>
      <c r="U174" s="15">
        <f>VLOOKUP($A$171,'集計'!$A$4:$EP$61,77,FALSE)</f>
        <v>14</v>
      </c>
      <c r="V174" s="16">
        <f>VLOOKUP($A$171,'集計'!$A$4:$EP$61,81,FALSE)</f>
        <v>3.86</v>
      </c>
      <c r="W174" s="15">
        <f>VLOOKUP($A$171,'集計'!$A$4:$EP$61,85,FALSE)</f>
        <v>10</v>
      </c>
      <c r="X174" s="16">
        <f>VLOOKUP($A$171,'集計'!$A$4:$EP$61,89,FALSE)</f>
        <v>20.3</v>
      </c>
      <c r="Y174" s="15">
        <f>VLOOKUP($A$171,'集計'!$A$4:$EP$61,93,FALSE)</f>
        <v>9</v>
      </c>
      <c r="Z174" s="16">
        <f>VLOOKUP($A$171,'集計'!$A$4:$EP$61,97,FALSE)</f>
        <v>49.5</v>
      </c>
      <c r="AA174" s="15">
        <f>VLOOKUP($A$171,'集計'!$A$4:$EP$61,101,FALSE)</f>
        <v>9</v>
      </c>
      <c r="AB174" s="16">
        <f>VLOOKUP($A$171,'集計'!$A$4:$EP$61,105,FALSE)</f>
        <v>134.9</v>
      </c>
      <c r="AC174" s="15">
        <f>VLOOKUP($A$171,'集計'!$A$4:$EP$61,109,FALSE)</f>
        <v>3</v>
      </c>
      <c r="AD174" s="16">
        <f>VLOOKUP($A$171,'集計'!$A$4:$EP$61,113,FALSE)</f>
        <v>21</v>
      </c>
      <c r="AE174" s="15">
        <f>VLOOKUP($A$171,'集計'!$A$4:$EP$61,117,FALSE)</f>
        <v>4</v>
      </c>
      <c r="AF174" s="16">
        <f>VLOOKUP($A$171,'集計'!$A$4:$EP$61,121,FALSE)</f>
        <v>29.3</v>
      </c>
      <c r="AG174" s="15">
        <f>VLOOKUP($A$171,'集計'!$A$4:$EP$61,125,FALSE)</f>
        <v>4</v>
      </c>
      <c r="AH174" s="16">
        <f>VLOOKUP($A$171,'集計'!$A$4:$EP$61,129,FALSE)</f>
        <v>55.3</v>
      </c>
      <c r="AI174" s="15">
        <f>VLOOKUP($A$171,'集計'!$A$4:$EP$61,133,FALSE)</f>
        <v>2</v>
      </c>
      <c r="AJ174" s="16">
        <f>VLOOKUP($A$171,'集計'!$A$4:$EP$61,137,FALSE)</f>
        <v>558.6</v>
      </c>
      <c r="AK174" s="15">
        <f>VLOOKUP($A$171,'集計'!$A$4:$EP$61,141,FALSE)</f>
        <v>55</v>
      </c>
      <c r="AL174" s="16">
        <f>VLOOKUP($A$171,'集計'!$A$4:$EP$61,145,FALSE)</f>
        <v>872.76</v>
      </c>
    </row>
    <row r="175" spans="1:38" ht="13.5">
      <c r="A175" s="32" t="s">
        <v>54</v>
      </c>
      <c r="B175" s="15">
        <f>VLOOKUP($A$175,'集計'!$A$4:$EP$61,6,FALSE)</f>
        <v>136</v>
      </c>
      <c r="C175" s="16">
        <f>VLOOKUP($A$175,'集計'!$A$4:$EP$61,10,FALSE)</f>
        <v>38.14</v>
      </c>
      <c r="D175" s="15">
        <f>VLOOKUP($A$175,'集計'!$A$4:$EP$61,14,FALSE)</f>
        <v>31</v>
      </c>
      <c r="E175" s="16">
        <f>VLOOKUP($A$175,'集計'!$A$4:$EP$61,18,FALSE)</f>
        <v>64.3</v>
      </c>
      <c r="F175" s="15">
        <f>VLOOKUP($A$175,'集計'!$A$4:$EP$61,22,FALSE)</f>
        <v>8</v>
      </c>
      <c r="G175" s="16">
        <f>VLOOKUP($A$175,'集計'!$A$4:$EP$61,26,FALSE)</f>
        <v>42.5</v>
      </c>
      <c r="H175" s="15">
        <f>VLOOKUP($A$175,'集計'!$A$4:$EP$61,30,FALSE)</f>
        <v>13</v>
      </c>
      <c r="I175" s="16">
        <f>VLOOKUP($A$175,'集計'!$A$4:$EP$61,34,FALSE)</f>
        <v>191.3</v>
      </c>
      <c r="J175" s="15">
        <f>VLOOKUP($A$175,'集計'!$A$4:$EP$61,38,FALSE)</f>
        <v>7</v>
      </c>
      <c r="K175" s="16">
        <f>VLOOKUP($A$175,'集計'!$A$4:$EP$61,42,FALSE)</f>
        <v>127.2</v>
      </c>
      <c r="L175" s="15">
        <f>VLOOKUP($A$175,'集計'!$A$4:$EP$61,46,FALSE)</f>
        <v>8</v>
      </c>
      <c r="M175" s="16">
        <f>VLOOKUP($A$175,'集計'!$A$4:$EP$61,50,FALSE)</f>
        <v>188.4</v>
      </c>
      <c r="N175" s="15">
        <f>VLOOKUP($A$175,'集計'!$A$4:$EP$61,54,FALSE)</f>
        <v>3</v>
      </c>
      <c r="O175" s="16">
        <f>VLOOKUP($A$175,'集計'!$A$4:$EP$61,58,FALSE)</f>
        <v>27.3</v>
      </c>
      <c r="P175" s="15">
        <f>VLOOKUP($A$175,'集計'!$A$4:$EP$61,62,FALSE)</f>
        <v>0</v>
      </c>
      <c r="Q175" s="16">
        <f>VLOOKUP($A$175,'集計'!$A$4:$EP$61,66,FALSE)</f>
        <v>0</v>
      </c>
      <c r="R175" s="15">
        <f>VLOOKUP($A$175,'集計'!$A$4:$EP$61,70,FALSE)</f>
        <v>206</v>
      </c>
      <c r="S175" s="16">
        <f>VLOOKUP($A$175,'集計'!$A$4:$EP$61,74,FALSE)</f>
        <v>679.14</v>
      </c>
      <c r="T175" s="32" t="s">
        <v>54</v>
      </c>
      <c r="U175" s="15">
        <f>VLOOKUP($A$175,'集計'!$A$4:$EP$61,78,FALSE)</f>
        <v>122</v>
      </c>
      <c r="V175" s="16">
        <f>VLOOKUP($A$175,'集計'!$A$4:$EP$61,82,FALSE)</f>
        <v>33.33</v>
      </c>
      <c r="W175" s="15">
        <f>VLOOKUP($A$175,'集計'!$A$4:$EP$61,86,FALSE)</f>
        <v>23</v>
      </c>
      <c r="X175" s="16">
        <f>VLOOKUP($A$175,'集計'!$A$4:$EP$61,90,FALSE)</f>
        <v>39.4</v>
      </c>
      <c r="Y175" s="15">
        <f>VLOOKUP($A$175,'集計'!$A$4:$EP$61,94,FALSE)</f>
        <v>7</v>
      </c>
      <c r="Z175" s="16">
        <f>VLOOKUP($A$175,'集計'!$A$4:$EP$61,98,FALSE)</f>
        <v>33</v>
      </c>
      <c r="AA175" s="15">
        <f>VLOOKUP($A$175,'集計'!$A$4:$EP$61,102,FALSE)</f>
        <v>8</v>
      </c>
      <c r="AB175" s="16">
        <f>VLOOKUP($A$175,'集計'!$A$4:$EP$61,106,FALSE)</f>
        <v>91</v>
      </c>
      <c r="AC175" s="15">
        <f>VLOOKUP($A$175,'集計'!$A$4:$EP$61,110,FALSE)</f>
        <v>7</v>
      </c>
      <c r="AD175" s="16">
        <f>VLOOKUP($A$175,'集計'!$A$4:$EP$61,114,FALSE)</f>
        <v>103</v>
      </c>
      <c r="AE175" s="15">
        <f>VLOOKUP($A$175,'集計'!$A$4:$EP$61,118,FALSE)</f>
        <v>5</v>
      </c>
      <c r="AF175" s="16">
        <f>VLOOKUP($A$175,'集計'!$A$4:$EP$61,122,FALSE)</f>
        <v>71.4</v>
      </c>
      <c r="AG175" s="15">
        <f>VLOOKUP($A$175,'集計'!$A$4:$EP$61,126,FALSE)</f>
        <v>2</v>
      </c>
      <c r="AH175" s="16">
        <f>VLOOKUP($A$175,'集計'!$A$4:$EP$61,130,FALSE)</f>
        <v>22.3</v>
      </c>
      <c r="AI175" s="15">
        <f>VLOOKUP($A$175,'集計'!$A$4:$EP$61,134,FALSE)</f>
        <v>0</v>
      </c>
      <c r="AJ175" s="16">
        <f>VLOOKUP($A$175,'集計'!$A$4:$EP$61,138,FALSE)</f>
        <v>0</v>
      </c>
      <c r="AK175" s="15">
        <f>VLOOKUP($A$175,'集計'!$A$4:$EP$61,142,FALSE)</f>
        <v>174</v>
      </c>
      <c r="AL175" s="16">
        <f>VLOOKUP($A$175,'集計'!$A$4:$EP$61,146,FALSE)</f>
        <v>393.43</v>
      </c>
    </row>
    <row r="176" spans="1:38" ht="13.5">
      <c r="A176" s="32" t="s">
        <v>22</v>
      </c>
      <c r="B176" s="15">
        <f>VLOOKUP($A$175,'集計'!$A$4:$EP$61,3,FALSE)</f>
        <v>46</v>
      </c>
      <c r="C176" s="16">
        <f>VLOOKUP($A$175,'集計'!$A$4:$EP$61,7,FALSE)</f>
        <v>13.45</v>
      </c>
      <c r="D176" s="15">
        <f>VLOOKUP($A$175,'集計'!$A$4:$EP$61,11,FALSE)</f>
        <v>15</v>
      </c>
      <c r="E176" s="16">
        <f>VLOOKUP($A$175,'集計'!$A$4:$EP$61,15,FALSE)</f>
        <v>29.7</v>
      </c>
      <c r="F176" s="15">
        <f>VLOOKUP($A$175,'集計'!$A$4:$EP$61,19,FALSE)</f>
        <v>2</v>
      </c>
      <c r="G176" s="16">
        <f>VLOOKUP($A$175,'集計'!$A$4:$EP$61,23,FALSE)</f>
        <v>8.5</v>
      </c>
      <c r="H176" s="15">
        <f>VLOOKUP($A$175,'集計'!$A$4:$EP$61,27,FALSE)</f>
        <v>0</v>
      </c>
      <c r="I176" s="16">
        <f>VLOOKUP($A$175,'集計'!$A$4:$EP$61,31,FALSE)</f>
        <v>0</v>
      </c>
      <c r="J176" s="15">
        <f>VLOOKUP($A$175,'集計'!$A$4:$EP$61,35,FALSE)</f>
        <v>2</v>
      </c>
      <c r="K176" s="16">
        <f>VLOOKUP($A$175,'集計'!$A$4:$EP$61,39,FALSE)</f>
        <v>0</v>
      </c>
      <c r="L176" s="15">
        <f>VLOOKUP($A$175,'集計'!$A$4:$EP$61,43,FALSE)</f>
        <v>3</v>
      </c>
      <c r="M176" s="16">
        <f>VLOOKUP($A$175,'集計'!$A$4:$EP$61,47,FALSE)</f>
        <v>45.2</v>
      </c>
      <c r="N176" s="15">
        <f>VLOOKUP($A$175,'集計'!$A$4:$EP$61,51,FALSE)</f>
        <v>1</v>
      </c>
      <c r="O176" s="16">
        <f>VLOOKUP($A$175,'集計'!$A$4:$EP$61,55,FALSE)</f>
        <v>20.5</v>
      </c>
      <c r="P176" s="15">
        <f>VLOOKUP($A$175,'集計'!$A$4:$EP$61,59,FALSE)</f>
        <v>0</v>
      </c>
      <c r="Q176" s="16">
        <f>VLOOKUP($A$175,'集計'!$A$4:$EP$61,63,FALSE)</f>
        <v>0</v>
      </c>
      <c r="R176" s="15">
        <f>VLOOKUP($A$175,'集計'!$A$4:$EP$61,67,FALSE)</f>
        <v>69</v>
      </c>
      <c r="S176" s="16">
        <f>VLOOKUP($A$175,'集計'!$A$4:$EP$61,71,FALSE)</f>
        <v>117.35</v>
      </c>
      <c r="T176" s="32" t="s">
        <v>22</v>
      </c>
      <c r="U176" s="15">
        <f>VLOOKUP($A$175,'集計'!$A$4:$EP$61,75,FALSE)</f>
        <v>42</v>
      </c>
      <c r="V176" s="16">
        <f>VLOOKUP($A$175,'集計'!$A$4:$EP$61,79,FALSE)</f>
        <v>11.6</v>
      </c>
      <c r="W176" s="15">
        <f>VLOOKUP($A$175,'集計'!$A$4:$EP$61,83,FALSE)</f>
        <v>10</v>
      </c>
      <c r="X176" s="16">
        <f>VLOOKUP($A$175,'集計'!$A$4:$EP$61,87,FALSE)</f>
        <v>13.6</v>
      </c>
      <c r="Y176" s="15">
        <f>VLOOKUP($A$175,'集計'!$A$4:$EP$61,91,FALSE)</f>
        <v>1</v>
      </c>
      <c r="Z176" s="16">
        <f>VLOOKUP($A$175,'集計'!$A$4:$EP$61,95,FALSE)</f>
        <v>3.4</v>
      </c>
      <c r="AA176" s="15">
        <f>VLOOKUP($A$175,'集計'!$A$4:$EP$61,99,FALSE)</f>
        <v>0</v>
      </c>
      <c r="AB176" s="16">
        <f>VLOOKUP($A$175,'集計'!$A$4:$EP$61,103,FALSE)</f>
        <v>0</v>
      </c>
      <c r="AC176" s="15">
        <f>VLOOKUP($A$175,'集計'!$A$4:$EP$61,107,FALSE)</f>
        <v>1</v>
      </c>
      <c r="AD176" s="16">
        <f>VLOOKUP($A$175,'集計'!$A$4:$EP$61,111,FALSE)</f>
        <v>13.3</v>
      </c>
      <c r="AE176" s="15">
        <f>VLOOKUP($A$175,'集計'!$A$4:$EP$61,115,FALSE)</f>
        <v>1</v>
      </c>
      <c r="AF176" s="16">
        <f>VLOOKUP($A$175,'集計'!$A$4:$EP$61,119,FALSE)</f>
        <v>11.3</v>
      </c>
      <c r="AG176" s="15">
        <f>VLOOKUP($A$175,'集計'!$A$4:$EP$61,123,FALSE)</f>
        <v>1</v>
      </c>
      <c r="AH176" s="16">
        <f>VLOOKUP($A$175,'集計'!$A$4:$EP$61,127,FALSE)</f>
        <v>20.5</v>
      </c>
      <c r="AI176" s="15">
        <f>VLOOKUP($A$175,'集計'!$A$4:$EP$61,131,FALSE)</f>
        <v>0</v>
      </c>
      <c r="AJ176" s="16">
        <f>VLOOKUP($A$175,'集計'!$A$4:$EP$61,135,FALSE)</f>
        <v>0</v>
      </c>
      <c r="AK176" s="15">
        <f>VLOOKUP($A$175,'集計'!$A$4:$EP$61,139,FALSE)</f>
        <v>56</v>
      </c>
      <c r="AL176" s="16">
        <f>VLOOKUP($A$175,'集計'!$A$4:$EP$61,143,FALSE)</f>
        <v>73.7</v>
      </c>
    </row>
    <row r="177" spans="1:38" ht="13.5">
      <c r="A177" s="32" t="s">
        <v>23</v>
      </c>
      <c r="B177" s="15">
        <f>VLOOKUP($A$175,'集計'!$A$4:$EP$61,4,FALSE)</f>
        <v>44</v>
      </c>
      <c r="C177" s="16">
        <f>VLOOKUP($A$175,'集計'!$A$4:$EP$61,8,FALSE)</f>
        <v>13.2</v>
      </c>
      <c r="D177" s="15">
        <f>VLOOKUP($A$175,'集計'!$A$4:$EP$61,(12),FALSE)</f>
        <v>9</v>
      </c>
      <c r="E177" s="16">
        <f>VLOOKUP($A$175,'集計'!$A$4:$EP$61,16,FALSE)</f>
        <v>17.4</v>
      </c>
      <c r="F177" s="15">
        <f>VLOOKUP($A$175,'集計'!$A$4:$EP$61,20,FALSE)</f>
        <v>0</v>
      </c>
      <c r="G177" s="16">
        <f>VLOOKUP($A$175,'集計'!$A$4:$EP$61,24,FALSE)</f>
        <v>0</v>
      </c>
      <c r="H177" s="15">
        <f>VLOOKUP($A$175,'集計'!$A$4:$EP$61,28,FALSE)</f>
        <v>2</v>
      </c>
      <c r="I177" s="16">
        <f>VLOOKUP($A$175,'集計'!$A$4:$EP$61,32,FALSE)</f>
        <v>30.9</v>
      </c>
      <c r="J177" s="15">
        <f>VLOOKUP($A$175,'集計'!$A$4:$EP$61,36,FALSE)</f>
        <v>0</v>
      </c>
      <c r="K177" s="16">
        <f>VLOOKUP($A$175,'集計'!$A$4:$EP$61,40,FALSE)</f>
        <v>28.3</v>
      </c>
      <c r="L177" s="15">
        <f>VLOOKUP($A$175,'集計'!$A$4:$EP$61,44,FALSE)</f>
        <v>2</v>
      </c>
      <c r="M177" s="16">
        <f>VLOOKUP($A$175,'集計'!$A$4:$EP$61,48,FALSE)</f>
        <v>81.8</v>
      </c>
      <c r="N177" s="15">
        <f>VLOOKUP($A$175,'集計'!$A$4:$EP$61,52,FALSE)</f>
        <v>1</v>
      </c>
      <c r="O177" s="16">
        <f>VLOOKUP($A$175,'集計'!$A$4:$EP$61,56,FALSE)</f>
        <v>5</v>
      </c>
      <c r="P177" s="15">
        <f>VLOOKUP($A$175,'集計'!$A$4:$EP$61,60,FALSE)</f>
        <v>0</v>
      </c>
      <c r="Q177" s="16">
        <f>VLOOKUP($A$175,'集計'!$A$4:$EP$61,64,FALSE)</f>
        <v>0</v>
      </c>
      <c r="R177" s="15">
        <f>VLOOKUP($A$175,'集計'!$A$4:$EP$61,68,FALSE)</f>
        <v>58</v>
      </c>
      <c r="S177" s="16">
        <f>VLOOKUP($A$175,'集計'!$A$4:$EP$61,72,FALSE)</f>
        <v>176.6</v>
      </c>
      <c r="T177" s="32" t="s">
        <v>23</v>
      </c>
      <c r="U177" s="15">
        <f>VLOOKUP($A$175,'集計'!$A$4:$EP$61,76,FALSE)</f>
        <v>37</v>
      </c>
      <c r="V177" s="16">
        <f>VLOOKUP($A$175,'集計'!$A$4:$EP$61,80,FALSE)</f>
        <v>11.15</v>
      </c>
      <c r="W177" s="15">
        <f>VLOOKUP($A$175,'集計'!$A$4:$EP$61,84,FALSE)</f>
        <v>7</v>
      </c>
      <c r="X177" s="16">
        <f>VLOOKUP($A$175,'集計'!$A$4:$EP$61,88,FALSE)</f>
        <v>12</v>
      </c>
      <c r="Y177" s="15">
        <f>VLOOKUP($A$175,'集計'!$A$4:$EP$61,92,FALSE)</f>
        <v>1</v>
      </c>
      <c r="Z177" s="16">
        <f>VLOOKUP($A$175,'集計'!$A$4:$EP$61,96,FALSE)</f>
        <v>4.5</v>
      </c>
      <c r="AA177" s="15">
        <f>VLOOKUP($A$175,'集計'!$A$4:$EP$61,100,FALSE)</f>
        <v>1</v>
      </c>
      <c r="AB177" s="16">
        <f>VLOOKUP($A$175,'集計'!$A$4:$EP$61,104,FALSE)</f>
        <v>12.7</v>
      </c>
      <c r="AC177" s="15">
        <f>VLOOKUP($A$175,'集計'!$A$4:$EP$61,108,FALSE)</f>
        <v>1</v>
      </c>
      <c r="AD177" s="16">
        <f>VLOOKUP($A$175,'集計'!$A$4:$EP$61,112,FALSE)</f>
        <v>15</v>
      </c>
      <c r="AE177" s="15">
        <f>VLOOKUP($A$175,'集計'!$A$4:$EP$61,116,FALSE)</f>
        <v>2</v>
      </c>
      <c r="AF177" s="16">
        <f>VLOOKUP($A$175,'集計'!$A$4:$EP$61,120,FALSE)</f>
        <v>46.1</v>
      </c>
      <c r="AG177" s="15">
        <f>VLOOKUP($A$175,'集計'!$A$4:$EP$61,124,FALSE)</f>
        <v>0</v>
      </c>
      <c r="AH177" s="16">
        <f>VLOOKUP($A$175,'集計'!$A$4:$EP$61,128,FALSE)</f>
        <v>0</v>
      </c>
      <c r="AI177" s="15">
        <f>VLOOKUP($A$175,'集計'!$A$4:$EP$61,132,FALSE)</f>
        <v>0</v>
      </c>
      <c r="AJ177" s="16">
        <f>VLOOKUP($A$175,'集計'!$A$4:$EP$61,136,FALSE)</f>
        <v>0</v>
      </c>
      <c r="AK177" s="15">
        <f>VLOOKUP($A$175,'集計'!$A$4:$EP$61,140,FALSE)</f>
        <v>49</v>
      </c>
      <c r="AL177" s="16">
        <f>VLOOKUP($A$175,'集計'!$A$4:$EP$61,144,FALSE)</f>
        <v>101.45</v>
      </c>
    </row>
    <row r="178" spans="1:38" ht="13.5">
      <c r="A178" s="32" t="s">
        <v>24</v>
      </c>
      <c r="B178" s="15">
        <f>VLOOKUP($A$175,'集計'!$A$4:$EP$61,5,FALSE)</f>
        <v>46</v>
      </c>
      <c r="C178" s="16">
        <f>VLOOKUP($A$175,'集計'!$A$4:$EP$61,9,FALSE)</f>
        <v>11.49</v>
      </c>
      <c r="D178" s="15">
        <f>VLOOKUP($A$175,'集計'!$A$4:$EP$61,13,FALSE)</f>
        <v>7</v>
      </c>
      <c r="E178" s="16">
        <f>VLOOKUP($A$175,'集計'!$A$4:$EP$61,17,FALSE)</f>
        <v>17.2</v>
      </c>
      <c r="F178" s="15">
        <f>VLOOKUP($A$175,'集計'!$A$4:$EP$61,21,FALSE)</f>
        <v>6</v>
      </c>
      <c r="G178" s="16">
        <f>VLOOKUP($A$175,'集計'!$A$4:$EP$61,25,FALSE)</f>
        <v>34</v>
      </c>
      <c r="H178" s="15">
        <f>VLOOKUP($A$175,'集計'!$A$4:$EP$61,29,FALSE)</f>
        <v>11</v>
      </c>
      <c r="I178" s="16">
        <f>VLOOKUP($A$175,'集計'!$A$4:$EP$61,33,FALSE)</f>
        <v>160.4</v>
      </c>
      <c r="J178" s="15">
        <f>VLOOKUP($A$175,'集計'!$A$4:$EP$61,37,FALSE)</f>
        <v>5</v>
      </c>
      <c r="K178" s="16">
        <f>VLOOKUP($A$175,'集計'!$A$4:$EP$61,41,FALSE)</f>
        <v>98.9</v>
      </c>
      <c r="L178" s="15">
        <f>VLOOKUP($A$175,'集計'!$A$4:$EP$61,45,FALSE)</f>
        <v>3</v>
      </c>
      <c r="M178" s="16">
        <f>VLOOKUP($A$175,'集計'!$A$4:$EP$61,49,FALSE)</f>
        <v>61.4</v>
      </c>
      <c r="N178" s="15">
        <f>VLOOKUP($A$175,'集計'!$A$4:$EP$61,53,FALSE)</f>
        <v>1</v>
      </c>
      <c r="O178" s="16">
        <f>VLOOKUP($A$175,'集計'!$A$4:$EP$61,57,FALSE)</f>
        <v>1.8</v>
      </c>
      <c r="P178" s="15">
        <f>VLOOKUP($A$175,'集計'!$A$4:$EP$61,61,FALSE)</f>
        <v>0</v>
      </c>
      <c r="Q178" s="16">
        <f>VLOOKUP($A$175,'集計'!$A$4:$EP$61,65,FALSE)</f>
        <v>0</v>
      </c>
      <c r="R178" s="15">
        <f>VLOOKUP($A$175,'集計'!$A$4:$EP$61,69,FALSE)</f>
        <v>79</v>
      </c>
      <c r="S178" s="16">
        <f>VLOOKUP($A$175,'集計'!$A$4:$EP$61,73,FALSE)</f>
        <v>385.19</v>
      </c>
      <c r="T178" s="32" t="s">
        <v>24</v>
      </c>
      <c r="U178" s="15">
        <f>VLOOKUP($A$175,'集計'!$A$4:$EP$61,77,FALSE)</f>
        <v>43</v>
      </c>
      <c r="V178" s="16">
        <f>VLOOKUP($A$175,'集計'!$A$4:$EP$61,81,FALSE)</f>
        <v>10.58</v>
      </c>
      <c r="W178" s="15">
        <f>VLOOKUP($A$175,'集計'!$A$4:$EP$61,85,FALSE)</f>
        <v>6</v>
      </c>
      <c r="X178" s="16">
        <f>VLOOKUP($A$175,'集計'!$A$4:$EP$61,89,FALSE)</f>
        <v>13.8</v>
      </c>
      <c r="Y178" s="15">
        <f>VLOOKUP($A$175,'集計'!$A$4:$EP$61,93,FALSE)</f>
        <v>5</v>
      </c>
      <c r="Z178" s="16">
        <f>VLOOKUP($A$175,'集計'!$A$4:$EP$61,97,FALSE)</f>
        <v>25.1</v>
      </c>
      <c r="AA178" s="15">
        <f>VLOOKUP($A$175,'集計'!$A$4:$EP$61,101,FALSE)</f>
        <v>7</v>
      </c>
      <c r="AB178" s="16">
        <f>VLOOKUP($A$175,'集計'!$A$4:$EP$61,105,FALSE)</f>
        <v>78.3</v>
      </c>
      <c r="AC178" s="15">
        <f>VLOOKUP($A$175,'集計'!$A$4:$EP$61,109,FALSE)</f>
        <v>5</v>
      </c>
      <c r="AD178" s="16">
        <f>VLOOKUP($A$175,'集計'!$A$4:$EP$61,113,FALSE)</f>
        <v>74.7</v>
      </c>
      <c r="AE178" s="15">
        <f>VLOOKUP($A$175,'集計'!$A$4:$EP$61,117,FALSE)</f>
        <v>2</v>
      </c>
      <c r="AF178" s="16">
        <f>VLOOKUP($A$175,'集計'!$A$4:$EP$61,121,FALSE)</f>
        <v>14</v>
      </c>
      <c r="AG178" s="15">
        <f>VLOOKUP($A$175,'集計'!$A$4:$EP$61,125,FALSE)</f>
        <v>1</v>
      </c>
      <c r="AH178" s="16">
        <f>VLOOKUP($A$175,'集計'!$A$4:$EP$61,129,FALSE)</f>
        <v>1.8</v>
      </c>
      <c r="AI178" s="15">
        <f>VLOOKUP($A$175,'集計'!$A$4:$EP$61,133,FALSE)</f>
        <v>0</v>
      </c>
      <c r="AJ178" s="16">
        <f>VLOOKUP($A$175,'集計'!$A$4:$EP$61,137,FALSE)</f>
        <v>0</v>
      </c>
      <c r="AK178" s="15">
        <f>VLOOKUP($A$175,'集計'!$A$4:$EP$61,141,FALSE)</f>
        <v>69</v>
      </c>
      <c r="AL178" s="16">
        <f>VLOOKUP($A$175,'集計'!$A$4:$EP$61,145,FALSE)</f>
        <v>218.28</v>
      </c>
    </row>
    <row r="179" spans="1:38" ht="13.5">
      <c r="A179" s="32"/>
      <c r="B179" s="19"/>
      <c r="C179" s="20"/>
      <c r="D179" s="19"/>
      <c r="E179" s="20"/>
      <c r="F179" s="19"/>
      <c r="G179" s="20"/>
      <c r="H179" s="19"/>
      <c r="I179" s="20"/>
      <c r="J179" s="19"/>
      <c r="K179" s="20"/>
      <c r="L179" s="19"/>
      <c r="M179" s="20"/>
      <c r="N179" s="19"/>
      <c r="O179" s="20"/>
      <c r="P179" s="19"/>
      <c r="Q179" s="20"/>
      <c r="R179" s="19"/>
      <c r="S179" s="20"/>
      <c r="T179" s="32"/>
      <c r="U179" s="19"/>
      <c r="V179" s="20"/>
      <c r="W179" s="19"/>
      <c r="X179" s="20"/>
      <c r="Y179" s="19"/>
      <c r="Z179" s="20"/>
      <c r="AA179" s="19"/>
      <c r="AB179" s="20"/>
      <c r="AC179" s="19"/>
      <c r="AD179" s="20"/>
      <c r="AE179" s="19"/>
      <c r="AF179" s="20"/>
      <c r="AG179" s="19"/>
      <c r="AH179" s="20"/>
      <c r="AI179" s="19"/>
      <c r="AJ179" s="20"/>
      <c r="AK179" s="19"/>
      <c r="AL179" s="20"/>
    </row>
    <row r="180" spans="1:38" ht="13.5">
      <c r="A180" s="32" t="s">
        <v>55</v>
      </c>
      <c r="B180" s="15">
        <f>VLOOKUP($A$180,'集計'!$A$4:$EP$61,6,FALSE)</f>
        <v>208</v>
      </c>
      <c r="C180" s="16">
        <f>VLOOKUP($A$180,'集計'!$A$4:$EP$61,10,FALSE)</f>
        <v>47.54</v>
      </c>
      <c r="D180" s="15">
        <f>VLOOKUP($A$180,'集計'!$A$4:$EP$61,14,FALSE)</f>
        <v>16</v>
      </c>
      <c r="E180" s="16">
        <f>VLOOKUP($A$180,'集計'!$A$4:$EP$61,18,FALSE)</f>
        <v>29.8</v>
      </c>
      <c r="F180" s="15">
        <f>VLOOKUP($A$180,'集計'!$A$4:$EP$61,22,FALSE)</f>
        <v>5</v>
      </c>
      <c r="G180" s="16">
        <f>VLOOKUP($A$180,'集計'!$A$4:$EP$61,26,FALSE)</f>
        <v>56.5</v>
      </c>
      <c r="H180" s="15">
        <f>VLOOKUP($A$180,'集計'!$A$4:$EP$61,30,FALSE)</f>
        <v>7</v>
      </c>
      <c r="I180" s="16">
        <f>VLOOKUP($A$180,'集計'!$A$4:$EP$61,34,FALSE)</f>
        <v>932.6</v>
      </c>
      <c r="J180" s="15">
        <f>VLOOKUP($A$180,'集計'!$A$4:$EP$61,38,FALSE)</f>
        <v>4</v>
      </c>
      <c r="K180" s="16">
        <f>VLOOKUP($A$180,'集計'!$A$4:$EP$61,42,FALSE)</f>
        <v>100.7</v>
      </c>
      <c r="L180" s="15">
        <f>VLOOKUP($A$180,'集計'!$A$4:$EP$61,46,FALSE)</f>
        <v>1</v>
      </c>
      <c r="M180" s="16">
        <f>VLOOKUP($A$180,'集計'!$A$4:$EP$61,50,FALSE)</f>
        <v>4.6</v>
      </c>
      <c r="N180" s="15">
        <f>VLOOKUP($A$180,'集計'!$A$4:$EP$61,54,FALSE)</f>
        <v>3</v>
      </c>
      <c r="O180" s="16">
        <f>VLOOKUP($A$180,'集計'!$A$4:$EP$61,58,FALSE)</f>
        <v>69.2</v>
      </c>
      <c r="P180" s="15">
        <f>VLOOKUP($A$180,'集計'!$A$4:$EP$61,62,FALSE)</f>
        <v>2</v>
      </c>
      <c r="Q180" s="16">
        <f>VLOOKUP($A$180,'集計'!$A$4:$EP$61,66,FALSE)</f>
        <v>613.8</v>
      </c>
      <c r="R180" s="15">
        <f>VLOOKUP($A$180,'集計'!$A$4:$EP$61,70,FALSE)</f>
        <v>246</v>
      </c>
      <c r="S180" s="16">
        <f>VLOOKUP($A$180,'集計'!$A$4:$EP$61,74,FALSE)</f>
        <v>1854.74</v>
      </c>
      <c r="T180" s="32" t="s">
        <v>55</v>
      </c>
      <c r="U180" s="15">
        <f>VLOOKUP($A$180,'集計'!$A$4:$EP$61,78,FALSE)</f>
        <v>204</v>
      </c>
      <c r="V180" s="16">
        <f>VLOOKUP($A$180,'集計'!$A$4:$EP$61,82,FALSE)</f>
        <v>46.79</v>
      </c>
      <c r="W180" s="15">
        <f>VLOOKUP($A$180,'集計'!$A$4:$EP$61,86,FALSE)</f>
        <v>12</v>
      </c>
      <c r="X180" s="16">
        <f>VLOOKUP($A$180,'集計'!$A$4:$EP$61,90,FALSE)</f>
        <v>24.2</v>
      </c>
      <c r="Y180" s="15">
        <f>VLOOKUP($A$180,'集計'!$A$4:$EP$61,94,FALSE)</f>
        <v>5</v>
      </c>
      <c r="Z180" s="16">
        <f>VLOOKUP($A$180,'集計'!$A$4:$EP$61,98,FALSE)</f>
        <v>38.1</v>
      </c>
      <c r="AA180" s="15">
        <f>VLOOKUP($A$180,'集計'!$A$4:$EP$61,102,FALSE)</f>
        <v>6</v>
      </c>
      <c r="AB180" s="16">
        <f>VLOOKUP($A$180,'集計'!$A$4:$EP$61,106,FALSE)</f>
        <v>168.5</v>
      </c>
      <c r="AC180" s="15">
        <f>VLOOKUP($A$180,'集計'!$A$4:$EP$61,110,FALSE)</f>
        <v>4</v>
      </c>
      <c r="AD180" s="16">
        <f>VLOOKUP($A$180,'集計'!$A$4:$EP$61,114,FALSE)</f>
        <v>70.5</v>
      </c>
      <c r="AE180" s="15">
        <f>VLOOKUP($A$180,'集計'!$A$4:$EP$61,118,FALSE)</f>
        <v>1</v>
      </c>
      <c r="AF180" s="16">
        <f>VLOOKUP($A$180,'集計'!$A$4:$EP$61,122,FALSE)</f>
        <v>4.6</v>
      </c>
      <c r="AG180" s="15">
        <f>VLOOKUP($A$180,'集計'!$A$4:$EP$61,126,FALSE)</f>
        <v>2</v>
      </c>
      <c r="AH180" s="16">
        <f>VLOOKUP($A$180,'集計'!$A$4:$EP$61,130,FALSE)</f>
        <v>11.8</v>
      </c>
      <c r="AI180" s="15">
        <f>VLOOKUP($A$180,'集計'!$A$4:$EP$61,134,FALSE)</f>
        <v>2</v>
      </c>
      <c r="AJ180" s="16">
        <f>VLOOKUP($A$180,'集計'!$A$4:$EP$61,138,FALSE)</f>
        <v>115.8</v>
      </c>
      <c r="AK180" s="15">
        <f>VLOOKUP($A$180,'集計'!$A$4:$EP$61,142,FALSE)</f>
        <v>236</v>
      </c>
      <c r="AL180" s="16">
        <f>VLOOKUP($A$180,'集計'!$A$4:$EP$61,146,FALSE)</f>
        <v>480.29</v>
      </c>
    </row>
    <row r="181" spans="1:38" ht="13.5">
      <c r="A181" s="32" t="s">
        <v>22</v>
      </c>
      <c r="B181" s="15">
        <f>VLOOKUP($A$180,'集計'!$A$4:$EP$61,3,FALSE)</f>
        <v>131</v>
      </c>
      <c r="C181" s="16">
        <f>VLOOKUP($A$180,'集計'!$A$4:$EP$61,7,FALSE)</f>
        <v>24.64</v>
      </c>
      <c r="D181" s="15">
        <f>VLOOKUP($A$180,'集計'!$A$4:$EP$61,11,FALSE)</f>
        <v>7</v>
      </c>
      <c r="E181" s="16">
        <f>VLOOKUP($A$180,'集計'!$A$4:$EP$61,15,FALSE)</f>
        <v>11.4</v>
      </c>
      <c r="F181" s="15">
        <f>VLOOKUP($A$180,'集計'!$A$4:$EP$61,19,FALSE)</f>
        <v>1</v>
      </c>
      <c r="G181" s="16">
        <f>VLOOKUP($A$180,'集計'!$A$4:$EP$61,23,FALSE)</f>
        <v>4.6</v>
      </c>
      <c r="H181" s="15">
        <f>VLOOKUP($A$180,'集計'!$A$4:$EP$61,27,FALSE)</f>
        <v>1</v>
      </c>
      <c r="I181" s="16">
        <f>VLOOKUP($A$180,'集計'!$A$4:$EP$61,31,FALSE)</f>
        <v>28.5</v>
      </c>
      <c r="J181" s="15">
        <f>VLOOKUP($A$180,'集計'!$A$4:$EP$61,35,FALSE)</f>
        <v>0</v>
      </c>
      <c r="K181" s="16">
        <f>VLOOKUP($A$180,'集計'!$A$4:$EP$61,39,FALSE)</f>
        <v>7.6</v>
      </c>
      <c r="L181" s="15">
        <f>VLOOKUP($A$180,'集計'!$A$4:$EP$61,43,FALSE)</f>
        <v>0</v>
      </c>
      <c r="M181" s="16">
        <f>VLOOKUP($A$180,'集計'!$A$4:$EP$61,47,FALSE)</f>
        <v>0</v>
      </c>
      <c r="N181" s="15">
        <f>VLOOKUP($A$180,'集計'!$A$4:$EP$61,51,FALSE)</f>
        <v>1</v>
      </c>
      <c r="O181" s="16">
        <f>VLOOKUP($A$180,'集計'!$A$4:$EP$61,55,FALSE)</f>
        <v>4.3</v>
      </c>
      <c r="P181" s="15">
        <f>VLOOKUP($A$180,'集計'!$A$4:$EP$61,59,FALSE)</f>
        <v>0</v>
      </c>
      <c r="Q181" s="16">
        <f>VLOOKUP($A$180,'集計'!$A$4:$EP$61,63,FALSE)</f>
        <v>0</v>
      </c>
      <c r="R181" s="15">
        <f>VLOOKUP($A$180,'集計'!$A$4:$EP$61,67,FALSE)</f>
        <v>141</v>
      </c>
      <c r="S181" s="16">
        <f>VLOOKUP($A$180,'集計'!$A$4:$EP$61,71,FALSE)</f>
        <v>81.04</v>
      </c>
      <c r="T181" s="32" t="s">
        <v>22</v>
      </c>
      <c r="U181" s="15">
        <f>VLOOKUP($A$180,'集計'!$A$4:$EP$61,75,FALSE)</f>
        <v>129</v>
      </c>
      <c r="V181" s="16">
        <f>VLOOKUP($A$180,'集計'!$A$4:$EP$61,79,FALSE)</f>
        <v>24.35</v>
      </c>
      <c r="W181" s="15">
        <f>VLOOKUP($A$180,'集計'!$A$4:$EP$61,83,FALSE)</f>
        <v>3</v>
      </c>
      <c r="X181" s="16">
        <f>VLOOKUP($A$180,'集計'!$A$4:$EP$61,87,FALSE)</f>
        <v>8.8</v>
      </c>
      <c r="Y181" s="15">
        <f>VLOOKUP($A$180,'集計'!$A$4:$EP$61,91,FALSE)</f>
        <v>1</v>
      </c>
      <c r="Z181" s="16">
        <f>VLOOKUP($A$180,'集計'!$A$4:$EP$61,95,FALSE)</f>
        <v>4.6</v>
      </c>
      <c r="AA181" s="15">
        <f>VLOOKUP($A$180,'集計'!$A$4:$EP$61,99,FALSE)</f>
        <v>1</v>
      </c>
      <c r="AB181" s="16">
        <f>VLOOKUP($A$180,'集計'!$A$4:$EP$61,103,FALSE)</f>
        <v>28.5</v>
      </c>
      <c r="AC181" s="15">
        <f>VLOOKUP($A$180,'集計'!$A$4:$EP$61,107,FALSE)</f>
        <v>0</v>
      </c>
      <c r="AD181" s="16">
        <f>VLOOKUP($A$180,'集計'!$A$4:$EP$61,111,FALSE)</f>
        <v>6.4</v>
      </c>
      <c r="AE181" s="15">
        <f>VLOOKUP($A$180,'集計'!$A$4:$EP$61,115,FALSE)</f>
        <v>0</v>
      </c>
      <c r="AF181" s="16">
        <f>VLOOKUP($A$180,'集計'!$A$4:$EP$61,119,FALSE)</f>
        <v>0</v>
      </c>
      <c r="AG181" s="15">
        <f>VLOOKUP($A$180,'集計'!$A$4:$EP$61,123,FALSE)</f>
        <v>0</v>
      </c>
      <c r="AH181" s="16">
        <f>VLOOKUP($A$180,'集計'!$A$4:$EP$61,127,FALSE)</f>
        <v>0</v>
      </c>
      <c r="AI181" s="15">
        <f>VLOOKUP($A$180,'集計'!$A$4:$EP$61,131,FALSE)</f>
        <v>0</v>
      </c>
      <c r="AJ181" s="16">
        <f>VLOOKUP($A$180,'集計'!$A$4:$EP$61,135,FALSE)</f>
        <v>0</v>
      </c>
      <c r="AK181" s="15">
        <f>VLOOKUP($A$180,'集計'!$A$4:$EP$61,139,FALSE)</f>
        <v>134</v>
      </c>
      <c r="AL181" s="16">
        <f>VLOOKUP($A$180,'集計'!$A$4:$EP$61,143,FALSE)</f>
        <v>72.65</v>
      </c>
    </row>
    <row r="182" spans="1:38" ht="13.5">
      <c r="A182" s="32" t="s">
        <v>23</v>
      </c>
      <c r="B182" s="15">
        <f>VLOOKUP($A$180,'集計'!$A$4:$EP$61,4,FALSE)</f>
        <v>48</v>
      </c>
      <c r="C182" s="16">
        <f>VLOOKUP($A$180,'集計'!$A$4:$EP$61,8,FALSE)</f>
        <v>12.24</v>
      </c>
      <c r="D182" s="15">
        <f>VLOOKUP($A$180,'集計'!$A$4:$EP$61,(12),FALSE)</f>
        <v>2</v>
      </c>
      <c r="E182" s="16">
        <f>VLOOKUP($A$180,'集計'!$A$4:$EP$61,16,FALSE)</f>
        <v>2.3</v>
      </c>
      <c r="F182" s="15">
        <f>VLOOKUP($A$180,'集計'!$A$4:$EP$61,20,FALSE)</f>
        <v>1</v>
      </c>
      <c r="G182" s="16">
        <f>VLOOKUP($A$180,'集計'!$A$4:$EP$61,24,FALSE)</f>
        <v>28.3</v>
      </c>
      <c r="H182" s="15">
        <f>VLOOKUP($A$180,'集計'!$A$4:$EP$61,28,FALSE)</f>
        <v>0</v>
      </c>
      <c r="I182" s="16">
        <f>VLOOKUP($A$180,'集計'!$A$4:$EP$61,32,FALSE)</f>
        <v>0</v>
      </c>
      <c r="J182" s="15">
        <f>VLOOKUP($A$180,'集計'!$A$4:$EP$61,36,FALSE)</f>
        <v>1</v>
      </c>
      <c r="K182" s="16">
        <f>VLOOKUP($A$180,'集計'!$A$4:$EP$61,40,FALSE)</f>
        <v>28.9</v>
      </c>
      <c r="L182" s="15">
        <f>VLOOKUP($A$180,'集計'!$A$4:$EP$61,44,FALSE)</f>
        <v>0</v>
      </c>
      <c r="M182" s="16">
        <f>VLOOKUP($A$180,'集計'!$A$4:$EP$61,48,FALSE)</f>
        <v>0</v>
      </c>
      <c r="N182" s="15">
        <f>VLOOKUP($A$180,'集計'!$A$4:$EP$61,52,FALSE)</f>
        <v>1</v>
      </c>
      <c r="O182" s="16">
        <f>VLOOKUP($A$180,'集計'!$A$4:$EP$61,56,FALSE)</f>
        <v>4.4</v>
      </c>
      <c r="P182" s="15">
        <f>VLOOKUP($A$180,'集計'!$A$4:$EP$61,60,FALSE)</f>
        <v>0</v>
      </c>
      <c r="Q182" s="16">
        <f>VLOOKUP($A$180,'集計'!$A$4:$EP$61,64,FALSE)</f>
        <v>0</v>
      </c>
      <c r="R182" s="15">
        <f>VLOOKUP($A$180,'集計'!$A$4:$EP$61,68,FALSE)</f>
        <v>53</v>
      </c>
      <c r="S182" s="16">
        <f>VLOOKUP($A$180,'集計'!$A$4:$EP$61,72,FALSE)</f>
        <v>76.14</v>
      </c>
      <c r="T182" s="32" t="s">
        <v>23</v>
      </c>
      <c r="U182" s="15">
        <f>VLOOKUP($A$180,'集計'!$A$4:$EP$61,76,FALSE)</f>
        <v>48</v>
      </c>
      <c r="V182" s="16">
        <f>VLOOKUP($A$180,'集計'!$A$4:$EP$61,80,FALSE)</f>
        <v>12.23</v>
      </c>
      <c r="W182" s="15">
        <f>VLOOKUP($A$180,'集計'!$A$4:$EP$61,84,FALSE)</f>
        <v>2</v>
      </c>
      <c r="X182" s="16">
        <f>VLOOKUP($A$180,'集計'!$A$4:$EP$61,88,FALSE)</f>
        <v>2.3</v>
      </c>
      <c r="Y182" s="15">
        <f>VLOOKUP($A$180,'集計'!$A$4:$EP$61,92,FALSE)</f>
        <v>1</v>
      </c>
      <c r="Z182" s="16">
        <f>VLOOKUP($A$180,'集計'!$A$4:$EP$61,96,FALSE)</f>
        <v>20.6</v>
      </c>
      <c r="AA182" s="15">
        <f>VLOOKUP($A$180,'集計'!$A$4:$EP$61,100,FALSE)</f>
        <v>0</v>
      </c>
      <c r="AB182" s="16">
        <f>VLOOKUP($A$180,'集計'!$A$4:$EP$61,104,FALSE)</f>
        <v>0</v>
      </c>
      <c r="AC182" s="15">
        <f>VLOOKUP($A$180,'集計'!$A$4:$EP$61,108,FALSE)</f>
        <v>1</v>
      </c>
      <c r="AD182" s="16">
        <f>VLOOKUP($A$180,'集計'!$A$4:$EP$61,112,FALSE)</f>
        <v>17.8</v>
      </c>
      <c r="AE182" s="15">
        <f>VLOOKUP($A$180,'集計'!$A$4:$EP$61,116,FALSE)</f>
        <v>0</v>
      </c>
      <c r="AF182" s="16">
        <f>VLOOKUP($A$180,'集計'!$A$4:$EP$61,120,FALSE)</f>
        <v>0</v>
      </c>
      <c r="AG182" s="15">
        <f>VLOOKUP($A$180,'集計'!$A$4:$EP$61,124,FALSE)</f>
        <v>1</v>
      </c>
      <c r="AH182" s="16">
        <f>VLOOKUP($A$180,'集計'!$A$4:$EP$61,128,FALSE)</f>
        <v>4.4</v>
      </c>
      <c r="AI182" s="15">
        <f>VLOOKUP($A$180,'集計'!$A$4:$EP$61,132,FALSE)</f>
        <v>0</v>
      </c>
      <c r="AJ182" s="16">
        <f>VLOOKUP($A$180,'集計'!$A$4:$EP$61,136,FALSE)</f>
        <v>0</v>
      </c>
      <c r="AK182" s="15">
        <f>VLOOKUP($A$180,'集計'!$A$4:$EP$61,140,FALSE)</f>
        <v>53</v>
      </c>
      <c r="AL182" s="16">
        <f>VLOOKUP($A$180,'集計'!$A$4:$EP$61,144,FALSE)</f>
        <v>57.33</v>
      </c>
    </row>
    <row r="183" spans="1:38" ht="13.5">
      <c r="A183" s="32" t="s">
        <v>24</v>
      </c>
      <c r="B183" s="15">
        <f>VLOOKUP($A$180,'集計'!$A$4:$EP$61,5,FALSE)</f>
        <v>29</v>
      </c>
      <c r="C183" s="16">
        <f>VLOOKUP($A$180,'集計'!$A$4:$EP$61,9,FALSE)</f>
        <v>10.66</v>
      </c>
      <c r="D183" s="15">
        <f>VLOOKUP($A$180,'集計'!$A$4:$EP$61,13,FALSE)</f>
        <v>7</v>
      </c>
      <c r="E183" s="16">
        <f>VLOOKUP($A$180,'集計'!$A$4:$EP$61,17,FALSE)</f>
        <v>16.1</v>
      </c>
      <c r="F183" s="15">
        <f>VLOOKUP($A$180,'集計'!$A$4:$EP$61,21,FALSE)</f>
        <v>3</v>
      </c>
      <c r="G183" s="16">
        <f>VLOOKUP($A$180,'集計'!$A$4:$EP$61,25,FALSE)</f>
        <v>23.6</v>
      </c>
      <c r="H183" s="15">
        <f>VLOOKUP($A$180,'集計'!$A$4:$EP$61,29,FALSE)</f>
        <v>6</v>
      </c>
      <c r="I183" s="16">
        <f>VLOOKUP($A$180,'集計'!$A$4:$EP$61,33,FALSE)</f>
        <v>904.1</v>
      </c>
      <c r="J183" s="15">
        <f>VLOOKUP($A$180,'集計'!$A$4:$EP$61,37,FALSE)</f>
        <v>3</v>
      </c>
      <c r="K183" s="16">
        <f>VLOOKUP($A$180,'集計'!$A$4:$EP$61,41,FALSE)</f>
        <v>64.2</v>
      </c>
      <c r="L183" s="15">
        <f>VLOOKUP($A$180,'集計'!$A$4:$EP$61,45,FALSE)</f>
        <v>1</v>
      </c>
      <c r="M183" s="16">
        <f>VLOOKUP($A$180,'集計'!$A$4:$EP$61,49,FALSE)</f>
        <v>4.6</v>
      </c>
      <c r="N183" s="15">
        <f>VLOOKUP($A$180,'集計'!$A$4:$EP$61,53,FALSE)</f>
        <v>1</v>
      </c>
      <c r="O183" s="16">
        <f>VLOOKUP($A$180,'集計'!$A$4:$EP$61,57,FALSE)</f>
        <v>60.5</v>
      </c>
      <c r="P183" s="15">
        <f>VLOOKUP($A$180,'集計'!$A$4:$EP$61,61,FALSE)</f>
        <v>2</v>
      </c>
      <c r="Q183" s="16">
        <f>VLOOKUP($A$180,'集計'!$A$4:$EP$61,65,FALSE)</f>
        <v>613.8</v>
      </c>
      <c r="R183" s="15">
        <f>VLOOKUP($A$180,'集計'!$A$4:$EP$61,69,FALSE)</f>
        <v>52</v>
      </c>
      <c r="S183" s="16">
        <f>VLOOKUP($A$180,'集計'!$A$4:$EP$61,73,FALSE)</f>
        <v>1697.56</v>
      </c>
      <c r="T183" s="32" t="s">
        <v>24</v>
      </c>
      <c r="U183" s="15">
        <f>VLOOKUP($A$180,'集計'!$A$4:$EP$61,77,FALSE)</f>
        <v>27</v>
      </c>
      <c r="V183" s="16">
        <f>VLOOKUP($A$180,'集計'!$A$4:$EP$61,81,FALSE)</f>
        <v>10.21</v>
      </c>
      <c r="W183" s="15">
        <f>VLOOKUP($A$180,'集計'!$A$4:$EP$61,85,FALSE)</f>
        <v>7</v>
      </c>
      <c r="X183" s="16">
        <f>VLOOKUP($A$180,'集計'!$A$4:$EP$61,89,FALSE)</f>
        <v>13.1</v>
      </c>
      <c r="Y183" s="15">
        <f>VLOOKUP($A$180,'集計'!$A$4:$EP$61,93,FALSE)</f>
        <v>3</v>
      </c>
      <c r="Z183" s="16">
        <f>VLOOKUP($A$180,'集計'!$A$4:$EP$61,97,FALSE)</f>
        <v>12.9</v>
      </c>
      <c r="AA183" s="15">
        <f>VLOOKUP($A$180,'集計'!$A$4:$EP$61,101,FALSE)</f>
        <v>5</v>
      </c>
      <c r="AB183" s="16">
        <f>VLOOKUP($A$180,'集計'!$A$4:$EP$61,105,FALSE)</f>
        <v>140</v>
      </c>
      <c r="AC183" s="15">
        <f>VLOOKUP($A$180,'集計'!$A$4:$EP$61,109,FALSE)</f>
        <v>3</v>
      </c>
      <c r="AD183" s="16">
        <f>VLOOKUP($A$180,'集計'!$A$4:$EP$61,113,FALSE)</f>
        <v>46.3</v>
      </c>
      <c r="AE183" s="15">
        <f>VLOOKUP($A$180,'集計'!$A$4:$EP$61,117,FALSE)</f>
        <v>1</v>
      </c>
      <c r="AF183" s="16">
        <f>VLOOKUP($A$180,'集計'!$A$4:$EP$61,121,FALSE)</f>
        <v>4.6</v>
      </c>
      <c r="AG183" s="15">
        <f>VLOOKUP($A$180,'集計'!$A$4:$EP$61,125,FALSE)</f>
        <v>1</v>
      </c>
      <c r="AH183" s="16">
        <f>VLOOKUP($A$180,'集計'!$A$4:$EP$61,129,FALSE)</f>
        <v>7.4</v>
      </c>
      <c r="AI183" s="15">
        <f>VLOOKUP($A$180,'集計'!$A$4:$EP$61,133,FALSE)</f>
        <v>2</v>
      </c>
      <c r="AJ183" s="16">
        <f>VLOOKUP($A$180,'集計'!$A$4:$EP$61,137,FALSE)</f>
        <v>115.8</v>
      </c>
      <c r="AK183" s="15">
        <f>VLOOKUP($A$180,'集計'!$A$4:$EP$61,141,FALSE)</f>
        <v>49</v>
      </c>
      <c r="AL183" s="16">
        <f>VLOOKUP($A$180,'集計'!$A$4:$EP$61,145,FALSE)</f>
        <v>350.31</v>
      </c>
    </row>
    <row r="184" spans="1:38" ht="13.5">
      <c r="A184" s="32" t="s">
        <v>56</v>
      </c>
      <c r="B184" s="15">
        <f>VLOOKUP($A$184,'集計'!$A$4:$EP$61,6,FALSE)</f>
        <v>162</v>
      </c>
      <c r="C184" s="16">
        <f>VLOOKUP($A$184,'集計'!$A$4:$EP$61,10,FALSE)</f>
        <v>36.81</v>
      </c>
      <c r="D184" s="15">
        <f>VLOOKUP($A$184,'集計'!$A$4:$EP$61,14,FALSE)</f>
        <v>17</v>
      </c>
      <c r="E184" s="16">
        <f>VLOOKUP($A$184,'集計'!$A$4:$EP$61,18,FALSE)</f>
        <v>42.9</v>
      </c>
      <c r="F184" s="15">
        <f>VLOOKUP($A$184,'集計'!$A$4:$EP$61,22,FALSE)</f>
        <v>7</v>
      </c>
      <c r="G184" s="16">
        <f>VLOOKUP($A$184,'集計'!$A$4:$EP$61,26,FALSE)</f>
        <v>54.9</v>
      </c>
      <c r="H184" s="15">
        <f>VLOOKUP($A$184,'集計'!$A$4:$EP$61,30,FALSE)</f>
        <v>19</v>
      </c>
      <c r="I184" s="16">
        <f>VLOOKUP($A$184,'集計'!$A$4:$EP$61,34,FALSE)</f>
        <v>329.2</v>
      </c>
      <c r="J184" s="15">
        <f>VLOOKUP($A$184,'集計'!$A$4:$EP$61,38,FALSE)</f>
        <v>9</v>
      </c>
      <c r="K184" s="16">
        <f>VLOOKUP($A$184,'集計'!$A$4:$EP$61,42,FALSE)</f>
        <v>158.2</v>
      </c>
      <c r="L184" s="15">
        <f>VLOOKUP($A$184,'集計'!$A$4:$EP$61,46,FALSE)</f>
        <v>0</v>
      </c>
      <c r="M184" s="16">
        <f>VLOOKUP($A$184,'集計'!$A$4:$EP$61,50,FALSE)</f>
        <v>0</v>
      </c>
      <c r="N184" s="15">
        <f>VLOOKUP($A$184,'集計'!$A$4:$EP$61,54,FALSE)</f>
        <v>8</v>
      </c>
      <c r="O184" s="16">
        <f>VLOOKUP($A$184,'集計'!$A$4:$EP$61,58,FALSE)</f>
        <v>221</v>
      </c>
      <c r="P184" s="15">
        <f>VLOOKUP($A$184,'集計'!$A$4:$EP$61,62,FALSE)</f>
        <v>4</v>
      </c>
      <c r="Q184" s="16">
        <f>VLOOKUP($A$184,'集計'!$A$4:$EP$61,66,FALSE)</f>
        <v>359.7</v>
      </c>
      <c r="R184" s="15">
        <f>VLOOKUP($A$184,'集計'!$A$4:$EP$61,70,FALSE)</f>
        <v>226</v>
      </c>
      <c r="S184" s="16">
        <f>VLOOKUP($A$184,'集計'!$A$4:$EP$61,74,FALSE)</f>
        <v>1202.71</v>
      </c>
      <c r="T184" s="32" t="s">
        <v>56</v>
      </c>
      <c r="U184" s="15">
        <f>VLOOKUP($A$184,'集計'!$A$4:$EP$61,78,FALSE)</f>
        <v>159</v>
      </c>
      <c r="V184" s="16">
        <f>VLOOKUP($A$184,'集計'!$A$4:$EP$61,82,FALSE)</f>
        <v>36.22</v>
      </c>
      <c r="W184" s="15">
        <f>VLOOKUP($A$184,'集計'!$A$4:$EP$61,86,FALSE)</f>
        <v>16</v>
      </c>
      <c r="X184" s="16">
        <f>VLOOKUP($A$184,'集計'!$A$4:$EP$61,90,FALSE)</f>
        <v>38.9</v>
      </c>
      <c r="Y184" s="15">
        <f>VLOOKUP($A$184,'集計'!$A$4:$EP$61,94,FALSE)</f>
        <v>7</v>
      </c>
      <c r="Z184" s="16">
        <f>VLOOKUP($A$184,'集計'!$A$4:$EP$61,98,FALSE)</f>
        <v>54.58</v>
      </c>
      <c r="AA184" s="15">
        <f>VLOOKUP($A$184,'集計'!$A$4:$EP$61,102,FALSE)</f>
        <v>19</v>
      </c>
      <c r="AB184" s="16">
        <f>VLOOKUP($A$184,'集計'!$A$4:$EP$61,106,FALSE)</f>
        <v>258.3</v>
      </c>
      <c r="AC184" s="15">
        <f>VLOOKUP($A$184,'集計'!$A$4:$EP$61,110,FALSE)</f>
        <v>9</v>
      </c>
      <c r="AD184" s="16">
        <f>VLOOKUP($A$184,'集計'!$A$4:$EP$61,114,FALSE)</f>
        <v>154.6</v>
      </c>
      <c r="AE184" s="15">
        <f>VLOOKUP($A$184,'集計'!$A$4:$EP$61,118,FALSE)</f>
        <v>0</v>
      </c>
      <c r="AF184" s="16">
        <f>VLOOKUP($A$184,'集計'!$A$4:$EP$61,122,FALSE)</f>
        <v>0</v>
      </c>
      <c r="AG184" s="15">
        <f>VLOOKUP($A$184,'集計'!$A$4:$EP$61,126,FALSE)</f>
        <v>8</v>
      </c>
      <c r="AH184" s="16">
        <f>VLOOKUP($A$184,'集計'!$A$4:$EP$61,130,FALSE)</f>
        <v>128.5</v>
      </c>
      <c r="AI184" s="15">
        <f>VLOOKUP($A$184,'集計'!$A$4:$EP$61,134,FALSE)</f>
        <v>4</v>
      </c>
      <c r="AJ184" s="16">
        <f>VLOOKUP($A$184,'集計'!$A$4:$EP$61,138,FALSE)</f>
        <v>251</v>
      </c>
      <c r="AK184" s="15">
        <f>VLOOKUP($A$184,'集計'!$A$4:$EP$61,142,FALSE)</f>
        <v>222</v>
      </c>
      <c r="AL184" s="16">
        <f>VLOOKUP($A$184,'集計'!$A$4:$EP$61,146,FALSE)</f>
        <v>922.1</v>
      </c>
    </row>
    <row r="185" spans="1:38" ht="13.5">
      <c r="A185" s="32" t="s">
        <v>22</v>
      </c>
      <c r="B185" s="15">
        <f>VLOOKUP($A$184,'集計'!$A$4:$EP$61,3,FALSE)</f>
        <v>79</v>
      </c>
      <c r="C185" s="16">
        <f>VLOOKUP($A$184,'集計'!$A$4:$EP$61,7,FALSE)</f>
        <v>16.02</v>
      </c>
      <c r="D185" s="15">
        <f>VLOOKUP($A$184,'集計'!$A$4:$EP$61,11,FALSE)</f>
        <v>6</v>
      </c>
      <c r="E185" s="16">
        <f>VLOOKUP($A$184,'集計'!$A$4:$EP$61,15,FALSE)</f>
        <v>20.8</v>
      </c>
      <c r="F185" s="15">
        <f>VLOOKUP($A$184,'集計'!$A$4:$EP$61,19,FALSE)</f>
        <v>0</v>
      </c>
      <c r="G185" s="16">
        <f>VLOOKUP($A$184,'集計'!$A$4:$EP$61,23,FALSE)</f>
        <v>0</v>
      </c>
      <c r="H185" s="15">
        <f>VLOOKUP($A$184,'集計'!$A$4:$EP$61,27,FALSE)</f>
        <v>4</v>
      </c>
      <c r="I185" s="16">
        <f>VLOOKUP($A$184,'集計'!$A$4:$EP$61,31,FALSE)</f>
        <v>58.7</v>
      </c>
      <c r="J185" s="15">
        <f>VLOOKUP($A$184,'集計'!$A$4:$EP$61,35,FALSE)</f>
        <v>1</v>
      </c>
      <c r="K185" s="16">
        <f>VLOOKUP($A$184,'集計'!$A$4:$EP$61,39,FALSE)</f>
        <v>11</v>
      </c>
      <c r="L185" s="15">
        <f>VLOOKUP($A$184,'集計'!$A$4:$EP$61,43,FALSE)</f>
        <v>0</v>
      </c>
      <c r="M185" s="16">
        <f>VLOOKUP($A$184,'集計'!$A$4:$EP$61,47,FALSE)</f>
        <v>0</v>
      </c>
      <c r="N185" s="15">
        <f>VLOOKUP($A$184,'集計'!$A$4:$EP$61,51,FALSE)</f>
        <v>3</v>
      </c>
      <c r="O185" s="16">
        <f>VLOOKUP($A$184,'集計'!$A$4:$EP$61,55,FALSE)</f>
        <v>28.8</v>
      </c>
      <c r="P185" s="15">
        <f>VLOOKUP($A$184,'集計'!$A$4:$EP$61,59,FALSE)</f>
        <v>0</v>
      </c>
      <c r="Q185" s="16">
        <f>VLOOKUP($A$184,'集計'!$A$4:$EP$61,63,FALSE)</f>
        <v>0</v>
      </c>
      <c r="R185" s="15">
        <f>VLOOKUP($A$184,'集計'!$A$4:$EP$61,67,FALSE)</f>
        <v>93</v>
      </c>
      <c r="S185" s="16">
        <f>VLOOKUP($A$184,'集計'!$A$4:$EP$61,71,FALSE)</f>
        <v>135.32</v>
      </c>
      <c r="T185" s="32" t="s">
        <v>22</v>
      </c>
      <c r="U185" s="15">
        <f>VLOOKUP($A$184,'集計'!$A$4:$EP$61,75,FALSE)</f>
        <v>77</v>
      </c>
      <c r="V185" s="16">
        <f>VLOOKUP($A$184,'集計'!$A$4:$EP$61,79,FALSE)</f>
        <v>15.58</v>
      </c>
      <c r="W185" s="15">
        <f>VLOOKUP($A$184,'集計'!$A$4:$EP$61,83,FALSE)</f>
        <v>6</v>
      </c>
      <c r="X185" s="16">
        <f>VLOOKUP($A$184,'集計'!$A$4:$EP$61,87,FALSE)</f>
        <v>19.1</v>
      </c>
      <c r="Y185" s="15">
        <f>VLOOKUP($A$184,'集計'!$A$4:$EP$61,91,FALSE)</f>
        <v>0</v>
      </c>
      <c r="Z185" s="16">
        <f>VLOOKUP($A$184,'集計'!$A$4:$EP$61,95,FALSE)</f>
        <v>0</v>
      </c>
      <c r="AA185" s="15">
        <f>VLOOKUP($A$184,'集計'!$A$4:$EP$61,99,FALSE)</f>
        <v>4</v>
      </c>
      <c r="AB185" s="16">
        <f>VLOOKUP($A$184,'集計'!$A$4:$EP$61,103,FALSE)</f>
        <v>50</v>
      </c>
      <c r="AC185" s="15">
        <f>VLOOKUP($A$184,'集計'!$A$4:$EP$61,107,FALSE)</f>
        <v>1</v>
      </c>
      <c r="AD185" s="16">
        <f>VLOOKUP($A$184,'集計'!$A$4:$EP$61,111,FALSE)</f>
        <v>11</v>
      </c>
      <c r="AE185" s="15">
        <f>VLOOKUP($A$184,'集計'!$A$4:$EP$61,115,FALSE)</f>
        <v>0</v>
      </c>
      <c r="AF185" s="16">
        <f>VLOOKUP($A$184,'集計'!$A$4:$EP$61,119,FALSE)</f>
        <v>0</v>
      </c>
      <c r="AG185" s="15">
        <f>VLOOKUP($A$184,'集計'!$A$4:$EP$61,123,FALSE)</f>
        <v>3</v>
      </c>
      <c r="AH185" s="16">
        <f>VLOOKUP($A$184,'集計'!$A$4:$EP$61,127,FALSE)</f>
        <v>28.5</v>
      </c>
      <c r="AI185" s="15">
        <f>VLOOKUP($A$184,'集計'!$A$4:$EP$61,131,FALSE)</f>
        <v>0</v>
      </c>
      <c r="AJ185" s="16">
        <f>VLOOKUP($A$184,'集計'!$A$4:$EP$61,135,FALSE)</f>
        <v>0</v>
      </c>
      <c r="AK185" s="15">
        <f>VLOOKUP($A$184,'集計'!$A$4:$EP$61,139,FALSE)</f>
        <v>91</v>
      </c>
      <c r="AL185" s="16">
        <f>VLOOKUP($A$184,'集計'!$A$4:$EP$61,143,FALSE)</f>
        <v>124.18</v>
      </c>
    </row>
    <row r="186" spans="1:38" ht="13.5">
      <c r="A186" s="32" t="s">
        <v>23</v>
      </c>
      <c r="B186" s="15">
        <f>VLOOKUP($A$184,'集計'!$A$4:$EP$61,4,FALSE)</f>
        <v>62</v>
      </c>
      <c r="C186" s="16">
        <f>VLOOKUP($A$184,'集計'!$A$4:$EP$61,8,FALSE)</f>
        <v>14.52</v>
      </c>
      <c r="D186" s="15">
        <f>VLOOKUP($A$184,'集計'!$A$4:$EP$61,(12),FALSE)</f>
        <v>5</v>
      </c>
      <c r="E186" s="16">
        <f>VLOOKUP($A$184,'集計'!$A$4:$EP$61,16,FALSE)</f>
        <v>9.9</v>
      </c>
      <c r="F186" s="15">
        <f>VLOOKUP($A$184,'集計'!$A$4:$EP$61,20,FALSE)</f>
        <v>1</v>
      </c>
      <c r="G186" s="16">
        <f>VLOOKUP($A$184,'集計'!$A$4:$EP$61,24,FALSE)</f>
        <v>5.3</v>
      </c>
      <c r="H186" s="15">
        <f>VLOOKUP($A$184,'集計'!$A$4:$EP$61,28,FALSE)</f>
        <v>3</v>
      </c>
      <c r="I186" s="16">
        <f>VLOOKUP($A$184,'集計'!$A$4:$EP$61,32,FALSE)</f>
        <v>45.5</v>
      </c>
      <c r="J186" s="15">
        <f>VLOOKUP($A$184,'集計'!$A$4:$EP$61,36,FALSE)</f>
        <v>2</v>
      </c>
      <c r="K186" s="16">
        <f>VLOOKUP($A$184,'集計'!$A$4:$EP$61,40,FALSE)</f>
        <v>57</v>
      </c>
      <c r="L186" s="15">
        <f>VLOOKUP($A$184,'集計'!$A$4:$EP$61,44,FALSE)</f>
        <v>0</v>
      </c>
      <c r="M186" s="16">
        <f>VLOOKUP($A$184,'集計'!$A$4:$EP$61,48,FALSE)</f>
        <v>0</v>
      </c>
      <c r="N186" s="15">
        <f>VLOOKUP($A$184,'集計'!$A$4:$EP$61,52,FALSE)</f>
        <v>2</v>
      </c>
      <c r="O186" s="16">
        <f>VLOOKUP($A$184,'集計'!$A$4:$EP$61,56,FALSE)</f>
        <v>4.1</v>
      </c>
      <c r="P186" s="15">
        <f>VLOOKUP($A$184,'集計'!$A$4:$EP$61,60,FALSE)</f>
        <v>0</v>
      </c>
      <c r="Q186" s="16">
        <f>VLOOKUP($A$184,'集計'!$A$4:$EP$61,64,FALSE)</f>
        <v>0</v>
      </c>
      <c r="R186" s="15">
        <f>VLOOKUP($A$184,'集計'!$A$4:$EP$61,68,FALSE)</f>
        <v>75</v>
      </c>
      <c r="S186" s="16">
        <f>VLOOKUP($A$184,'集計'!$A$4:$EP$61,72,FALSE)</f>
        <v>136.32</v>
      </c>
      <c r="T186" s="32" t="s">
        <v>23</v>
      </c>
      <c r="U186" s="15">
        <f>VLOOKUP($A$184,'集計'!$A$4:$EP$61,76,FALSE)</f>
        <v>61</v>
      </c>
      <c r="V186" s="16">
        <f>VLOOKUP($A$184,'集計'!$A$4:$EP$61,80,FALSE)</f>
        <v>14.28</v>
      </c>
      <c r="W186" s="15">
        <f>VLOOKUP($A$184,'集計'!$A$4:$EP$61,84,FALSE)</f>
        <v>5</v>
      </c>
      <c r="X186" s="16">
        <f>VLOOKUP($A$184,'集計'!$A$4:$EP$61,88,FALSE)</f>
        <v>9.9</v>
      </c>
      <c r="Y186" s="15">
        <f>VLOOKUP($A$184,'集計'!$A$4:$EP$61,92,FALSE)</f>
        <v>1</v>
      </c>
      <c r="Z186" s="16">
        <f>VLOOKUP($A$184,'集計'!$A$4:$EP$61,96,FALSE)</f>
        <v>4.7</v>
      </c>
      <c r="AA186" s="15">
        <f>VLOOKUP($A$184,'集計'!$A$4:$EP$61,100,FALSE)</f>
        <v>3</v>
      </c>
      <c r="AB186" s="16">
        <f>VLOOKUP($A$184,'集計'!$A$4:$EP$61,104,FALSE)</f>
        <v>41.1</v>
      </c>
      <c r="AC186" s="15">
        <f>VLOOKUP($A$184,'集計'!$A$4:$EP$61,108,FALSE)</f>
        <v>2</v>
      </c>
      <c r="AD186" s="16">
        <f>VLOOKUP($A$184,'集計'!$A$4:$EP$61,112,FALSE)</f>
        <v>57</v>
      </c>
      <c r="AE186" s="15">
        <f>VLOOKUP($A$184,'集計'!$A$4:$EP$61,116,FALSE)</f>
        <v>0</v>
      </c>
      <c r="AF186" s="16">
        <f>VLOOKUP($A$184,'集計'!$A$4:$EP$61,120,FALSE)</f>
        <v>0</v>
      </c>
      <c r="AG186" s="15">
        <f>VLOOKUP($A$184,'集計'!$A$4:$EP$61,124,FALSE)</f>
        <v>2</v>
      </c>
      <c r="AH186" s="16">
        <f>VLOOKUP($A$184,'集計'!$A$4:$EP$61,128,FALSE)</f>
        <v>4.1</v>
      </c>
      <c r="AI186" s="15">
        <f>VLOOKUP($A$184,'集計'!$A$4:$EP$61,132,FALSE)</f>
        <v>0</v>
      </c>
      <c r="AJ186" s="16">
        <f>VLOOKUP($A$184,'集計'!$A$4:$EP$61,136,FALSE)</f>
        <v>0</v>
      </c>
      <c r="AK186" s="15">
        <f>VLOOKUP($A$184,'集計'!$A$4:$EP$61,140,FALSE)</f>
        <v>74</v>
      </c>
      <c r="AL186" s="16">
        <f>VLOOKUP($A$184,'集計'!$A$4:$EP$61,144,FALSE)</f>
        <v>131.08</v>
      </c>
    </row>
    <row r="187" spans="1:38" ht="13.5">
      <c r="A187" s="32" t="s">
        <v>24</v>
      </c>
      <c r="B187" s="15">
        <f>VLOOKUP($A$184,'集計'!$A$4:$EP$61,5,FALSE)</f>
        <v>21</v>
      </c>
      <c r="C187" s="16">
        <f>VLOOKUP($A$184,'集計'!$A$4:$EP$61,9,FALSE)</f>
        <v>6.27</v>
      </c>
      <c r="D187" s="15">
        <f>VLOOKUP($A$184,'集計'!$A$4:$EP$61,13,FALSE)</f>
        <v>6</v>
      </c>
      <c r="E187" s="16">
        <f>VLOOKUP($A$184,'集計'!$A$4:$EP$61,17,FALSE)</f>
        <v>12.2</v>
      </c>
      <c r="F187" s="15">
        <f>VLOOKUP($A$184,'集計'!$A$4:$EP$61,21,FALSE)</f>
        <v>6</v>
      </c>
      <c r="G187" s="16">
        <f>VLOOKUP($A$184,'集計'!$A$4:$EP$61,25,FALSE)</f>
        <v>49.6</v>
      </c>
      <c r="H187" s="15">
        <f>VLOOKUP($A$184,'集計'!$A$4:$EP$61,29,FALSE)</f>
        <v>12</v>
      </c>
      <c r="I187" s="16">
        <f>VLOOKUP($A$184,'集計'!$A$4:$EP$61,33,FALSE)</f>
        <v>225</v>
      </c>
      <c r="J187" s="15">
        <f>VLOOKUP($A$184,'集計'!$A$4:$EP$61,37,FALSE)</f>
        <v>6</v>
      </c>
      <c r="K187" s="16">
        <f>VLOOKUP($A$184,'集計'!$A$4:$EP$61,41,FALSE)</f>
        <v>90.2</v>
      </c>
      <c r="L187" s="15">
        <f>VLOOKUP($A$184,'集計'!$A$4:$EP$61,45,FALSE)</f>
        <v>0</v>
      </c>
      <c r="M187" s="16">
        <f>VLOOKUP($A$184,'集計'!$A$4:$EP$61,49,FALSE)</f>
        <v>0</v>
      </c>
      <c r="N187" s="15">
        <f>VLOOKUP($A$184,'集計'!$A$4:$EP$61,53,FALSE)</f>
        <v>3</v>
      </c>
      <c r="O187" s="16">
        <f>VLOOKUP($A$184,'集計'!$A$4:$EP$61,57,FALSE)</f>
        <v>188.1</v>
      </c>
      <c r="P187" s="15">
        <f>VLOOKUP($A$184,'集計'!$A$4:$EP$61,61,FALSE)</f>
        <v>4</v>
      </c>
      <c r="Q187" s="16">
        <f>VLOOKUP($A$184,'集計'!$A$4:$EP$61,65,FALSE)</f>
        <v>359.7</v>
      </c>
      <c r="R187" s="15">
        <f>VLOOKUP($A$184,'集計'!$A$4:$EP$61,69,FALSE)</f>
        <v>58</v>
      </c>
      <c r="S187" s="16">
        <f>VLOOKUP($A$184,'集計'!$A$4:$EP$61,73,FALSE)</f>
        <v>931.07</v>
      </c>
      <c r="T187" s="32" t="s">
        <v>24</v>
      </c>
      <c r="U187" s="15">
        <f>VLOOKUP($A$184,'集計'!$A$4:$EP$61,77,FALSE)</f>
        <v>21</v>
      </c>
      <c r="V187" s="16">
        <f>VLOOKUP($A$184,'集計'!$A$4:$EP$61,81,FALSE)</f>
        <v>6.36</v>
      </c>
      <c r="W187" s="15">
        <f>VLOOKUP($A$184,'集計'!$A$4:$EP$61,85,FALSE)</f>
        <v>5</v>
      </c>
      <c r="X187" s="16">
        <f>VLOOKUP($A$184,'集計'!$A$4:$EP$61,89,FALSE)</f>
        <v>9.9</v>
      </c>
      <c r="Y187" s="15">
        <f>VLOOKUP($A$184,'集計'!$A$4:$EP$61,93,FALSE)</f>
        <v>6</v>
      </c>
      <c r="Z187" s="16">
        <f>VLOOKUP($A$184,'集計'!$A$4:$EP$61,97,FALSE)</f>
        <v>49.88</v>
      </c>
      <c r="AA187" s="15">
        <f>VLOOKUP($A$184,'集計'!$A$4:$EP$61,101,FALSE)</f>
        <v>12</v>
      </c>
      <c r="AB187" s="16">
        <f>VLOOKUP($A$184,'集計'!$A$4:$EP$61,105,FALSE)</f>
        <v>167.2</v>
      </c>
      <c r="AC187" s="15">
        <f>VLOOKUP($A$184,'集計'!$A$4:$EP$61,109,FALSE)</f>
        <v>6</v>
      </c>
      <c r="AD187" s="16">
        <f>VLOOKUP($A$184,'集計'!$A$4:$EP$61,113,FALSE)</f>
        <v>86.6</v>
      </c>
      <c r="AE187" s="15">
        <f>VLOOKUP($A$184,'集計'!$A$4:$EP$61,117,FALSE)</f>
        <v>0</v>
      </c>
      <c r="AF187" s="16">
        <f>VLOOKUP($A$184,'集計'!$A$4:$EP$61,121,FALSE)</f>
        <v>0</v>
      </c>
      <c r="AG187" s="15">
        <f>VLOOKUP($A$184,'集計'!$A$4:$EP$61,125,FALSE)</f>
        <v>3</v>
      </c>
      <c r="AH187" s="16">
        <f>VLOOKUP($A$184,'集計'!$A$4:$EP$61,129,FALSE)</f>
        <v>95.9</v>
      </c>
      <c r="AI187" s="15">
        <f>VLOOKUP($A$184,'集計'!$A$4:$EP$61,133,FALSE)</f>
        <v>4</v>
      </c>
      <c r="AJ187" s="16">
        <f>VLOOKUP($A$184,'集計'!$A$4:$EP$61,137,FALSE)</f>
        <v>251</v>
      </c>
      <c r="AK187" s="15">
        <f>VLOOKUP($A$184,'集計'!$A$4:$EP$61,141,FALSE)</f>
        <v>57</v>
      </c>
      <c r="AL187" s="16">
        <f>VLOOKUP($A$184,'集計'!$A$4:$EP$61,145,FALSE)</f>
        <v>666.84</v>
      </c>
    </row>
    <row r="188" spans="1:38" ht="13.5">
      <c r="A188" s="32" t="s">
        <v>57</v>
      </c>
      <c r="B188" s="15">
        <f>VLOOKUP($A$188,'集計'!$A$4:$EP$61,6,FALSE)</f>
        <v>482</v>
      </c>
      <c r="C188" s="16">
        <f>VLOOKUP($A$188,'集計'!$A$4:$EP$61,10,FALSE)</f>
        <v>119</v>
      </c>
      <c r="D188" s="15">
        <f>VLOOKUP($A$188,'集計'!$A$4:$EP$61,14,FALSE)</f>
        <v>38</v>
      </c>
      <c r="E188" s="16">
        <f>VLOOKUP($A$188,'集計'!$A$4:$EP$61,18,FALSE)</f>
        <v>83.9</v>
      </c>
      <c r="F188" s="15">
        <f>VLOOKUP($A$188,'集計'!$A$4:$EP$61,22,FALSE)</f>
        <v>14</v>
      </c>
      <c r="G188" s="16">
        <f>VLOOKUP($A$188,'集計'!$A$4:$EP$61,26,FALSE)</f>
        <v>88.9</v>
      </c>
      <c r="H188" s="15">
        <f>VLOOKUP($A$188,'集計'!$A$4:$EP$61,30,FALSE)</f>
        <v>19</v>
      </c>
      <c r="I188" s="16">
        <f>VLOOKUP($A$188,'集計'!$A$4:$EP$61,34,FALSE)</f>
        <v>266.7</v>
      </c>
      <c r="J188" s="15">
        <f>VLOOKUP($A$188,'集計'!$A$4:$EP$61,38,FALSE)</f>
        <v>18</v>
      </c>
      <c r="K188" s="16">
        <f>VLOOKUP($A$188,'集計'!$A$4:$EP$61,42,FALSE)</f>
        <v>266.68</v>
      </c>
      <c r="L188" s="15">
        <f>VLOOKUP($A$188,'集計'!$A$4:$EP$61,46,FALSE)</f>
        <v>11</v>
      </c>
      <c r="M188" s="16">
        <f>VLOOKUP($A$188,'集計'!$A$4:$EP$61,50,FALSE)</f>
        <v>466.6</v>
      </c>
      <c r="N188" s="15">
        <f>VLOOKUP($A$188,'集計'!$A$4:$EP$61,54,FALSE)</f>
        <v>4</v>
      </c>
      <c r="O188" s="16">
        <f>VLOOKUP($A$188,'集計'!$A$4:$EP$61,58,FALSE)</f>
        <v>46.3</v>
      </c>
      <c r="P188" s="15">
        <f>VLOOKUP($A$188,'集計'!$A$4:$EP$61,62,FALSE)</f>
        <v>0</v>
      </c>
      <c r="Q188" s="16">
        <f>VLOOKUP($A$188,'集計'!$A$4:$EP$61,66,FALSE)</f>
        <v>0</v>
      </c>
      <c r="R188" s="15">
        <f>VLOOKUP($A$188,'集計'!$A$4:$EP$61,70,FALSE)</f>
        <v>586</v>
      </c>
      <c r="S188" s="16">
        <f>VLOOKUP($A$188,'集計'!$A$4:$EP$61,74,FALSE)</f>
        <v>1338.08</v>
      </c>
      <c r="T188" s="32" t="s">
        <v>57</v>
      </c>
      <c r="U188" s="15">
        <f>VLOOKUP($A$188,'集計'!$A$4:$EP$61,78,FALSE)</f>
        <v>479</v>
      </c>
      <c r="V188" s="16">
        <f>VLOOKUP($A$188,'集計'!$A$4:$EP$61,82,FALSE)</f>
        <v>119.19</v>
      </c>
      <c r="W188" s="15">
        <f>VLOOKUP($A$188,'集計'!$A$4:$EP$61,86,FALSE)</f>
        <v>36</v>
      </c>
      <c r="X188" s="16">
        <f>VLOOKUP($A$188,'集計'!$A$4:$EP$61,90,FALSE)</f>
        <v>74.75</v>
      </c>
      <c r="Y188" s="15">
        <f>VLOOKUP($A$188,'集計'!$A$4:$EP$61,94,FALSE)</f>
        <v>14</v>
      </c>
      <c r="Z188" s="16">
        <f>VLOOKUP($A$188,'集計'!$A$4:$EP$61,98,FALSE)</f>
        <v>85.7</v>
      </c>
      <c r="AA188" s="15">
        <f>VLOOKUP($A$188,'集計'!$A$4:$EP$61,102,FALSE)</f>
        <v>19</v>
      </c>
      <c r="AB188" s="16">
        <f>VLOOKUP($A$188,'集計'!$A$4:$EP$61,106,FALSE)</f>
        <v>230.65</v>
      </c>
      <c r="AC188" s="15">
        <f>VLOOKUP($A$188,'集計'!$A$4:$EP$61,110,FALSE)</f>
        <v>18</v>
      </c>
      <c r="AD188" s="16">
        <f>VLOOKUP($A$188,'集計'!$A$4:$EP$61,114,FALSE)</f>
        <v>244.18</v>
      </c>
      <c r="AE188" s="15">
        <f>VLOOKUP($A$188,'集計'!$A$4:$EP$61,118,FALSE)</f>
        <v>11</v>
      </c>
      <c r="AF188" s="16">
        <f>VLOOKUP($A$188,'集計'!$A$4:$EP$61,122,FALSE)</f>
        <v>372.92</v>
      </c>
      <c r="AG188" s="15">
        <f>VLOOKUP($A$188,'集計'!$A$4:$EP$61,126,FALSE)</f>
        <v>4</v>
      </c>
      <c r="AH188" s="16">
        <f>VLOOKUP($A$188,'集計'!$A$4:$EP$61,130,FALSE)</f>
        <v>37.4</v>
      </c>
      <c r="AI188" s="15">
        <f>VLOOKUP($A$188,'集計'!$A$4:$EP$61,134,FALSE)</f>
        <v>0</v>
      </c>
      <c r="AJ188" s="16">
        <f>VLOOKUP($A$188,'集計'!$A$4:$EP$61,138,FALSE)</f>
        <v>0</v>
      </c>
      <c r="AK188" s="15">
        <f>VLOOKUP($A$188,'集計'!$A$4:$EP$61,142,FALSE)</f>
        <v>581</v>
      </c>
      <c r="AL188" s="16">
        <f>VLOOKUP($A$188,'集計'!$A$4:$EP$61,146,FALSE)</f>
        <v>1164.79</v>
      </c>
    </row>
    <row r="189" spans="1:38" ht="13.5">
      <c r="A189" s="32" t="s">
        <v>22</v>
      </c>
      <c r="B189" s="15">
        <f>VLOOKUP($A$188,'集計'!$A$4:$EP$61,3,FALSE)</f>
        <v>360</v>
      </c>
      <c r="C189" s="16">
        <f>VLOOKUP($A$188,'集計'!$A$4:$EP$61,7,FALSE)</f>
        <v>85.98</v>
      </c>
      <c r="D189" s="15">
        <f>VLOOKUP($A$188,'集計'!$A$4:$EP$61,11,FALSE)</f>
        <v>17</v>
      </c>
      <c r="E189" s="16">
        <f>VLOOKUP($A$188,'集計'!$A$4:$EP$61,15,FALSE)</f>
        <v>38.5</v>
      </c>
      <c r="F189" s="15">
        <f>VLOOKUP($A$188,'集計'!$A$4:$EP$61,19,FALSE)</f>
        <v>2</v>
      </c>
      <c r="G189" s="16">
        <f>VLOOKUP($A$188,'集計'!$A$4:$EP$61,23,FALSE)</f>
        <v>12.1</v>
      </c>
      <c r="H189" s="15">
        <f>VLOOKUP($A$188,'集計'!$A$4:$EP$61,27,FALSE)</f>
        <v>5</v>
      </c>
      <c r="I189" s="16">
        <f>VLOOKUP($A$188,'集計'!$A$4:$EP$61,31,FALSE)</f>
        <v>64.9</v>
      </c>
      <c r="J189" s="15">
        <f>VLOOKUP($A$188,'集計'!$A$4:$EP$61,35,FALSE)</f>
        <v>5</v>
      </c>
      <c r="K189" s="16">
        <f>VLOOKUP($A$188,'集計'!$A$4:$EP$61,39,FALSE)</f>
        <v>87.2</v>
      </c>
      <c r="L189" s="15">
        <f>VLOOKUP($A$188,'集計'!$A$4:$EP$61,43,FALSE)</f>
        <v>3</v>
      </c>
      <c r="M189" s="16">
        <f>VLOOKUP($A$188,'集計'!$A$4:$EP$61,47,FALSE)</f>
        <v>161.1</v>
      </c>
      <c r="N189" s="15">
        <f>VLOOKUP($A$188,'集計'!$A$4:$EP$61,51,FALSE)</f>
        <v>3</v>
      </c>
      <c r="O189" s="16">
        <f>VLOOKUP($A$188,'集計'!$A$4:$EP$61,55,FALSE)</f>
        <v>42.8</v>
      </c>
      <c r="P189" s="15">
        <f>VLOOKUP($A$188,'集計'!$A$4:$EP$61,59,FALSE)</f>
        <v>0</v>
      </c>
      <c r="Q189" s="16">
        <f>VLOOKUP($A$188,'集計'!$A$4:$EP$61,63,FALSE)</f>
        <v>0</v>
      </c>
      <c r="R189" s="15">
        <f>VLOOKUP($A$188,'集計'!$A$4:$EP$61,67,FALSE)</f>
        <v>395</v>
      </c>
      <c r="S189" s="16">
        <f>VLOOKUP($A$188,'集計'!$A$4:$EP$61,71,FALSE)</f>
        <v>492.58</v>
      </c>
      <c r="T189" s="32" t="s">
        <v>22</v>
      </c>
      <c r="U189" s="15">
        <f>VLOOKUP($A$188,'集計'!$A$4:$EP$61,75,FALSE)</f>
        <v>357</v>
      </c>
      <c r="V189" s="16">
        <f>VLOOKUP($A$188,'集計'!$A$4:$EP$61,79,FALSE)</f>
        <v>85.33</v>
      </c>
      <c r="W189" s="15">
        <f>VLOOKUP($A$188,'集計'!$A$4:$EP$61,83,FALSE)</f>
        <v>16</v>
      </c>
      <c r="X189" s="16">
        <f>VLOOKUP($A$188,'集計'!$A$4:$EP$61,87,FALSE)</f>
        <v>31.6</v>
      </c>
      <c r="Y189" s="15">
        <f>VLOOKUP($A$188,'集計'!$A$4:$EP$61,91,FALSE)</f>
        <v>2</v>
      </c>
      <c r="Z189" s="16">
        <f>VLOOKUP($A$188,'集計'!$A$4:$EP$61,95,FALSE)</f>
        <v>12.1</v>
      </c>
      <c r="AA189" s="15">
        <f>VLOOKUP($A$188,'集計'!$A$4:$EP$61,99,FALSE)</f>
        <v>5</v>
      </c>
      <c r="AB189" s="16">
        <f>VLOOKUP($A$188,'集計'!$A$4:$EP$61,103,FALSE)</f>
        <v>56</v>
      </c>
      <c r="AC189" s="15">
        <f>VLOOKUP($A$188,'集計'!$A$4:$EP$61,107,FALSE)</f>
        <v>6</v>
      </c>
      <c r="AD189" s="16">
        <f>VLOOKUP($A$188,'集計'!$A$4:$EP$61,111,FALSE)</f>
        <v>79.8</v>
      </c>
      <c r="AE189" s="15">
        <f>VLOOKUP($A$188,'集計'!$A$4:$EP$61,115,FALSE)</f>
        <v>3</v>
      </c>
      <c r="AF189" s="16">
        <f>VLOOKUP($A$188,'集計'!$A$4:$EP$61,119,FALSE)</f>
        <v>85</v>
      </c>
      <c r="AG189" s="15">
        <f>VLOOKUP($A$188,'集計'!$A$4:$EP$61,123,FALSE)</f>
        <v>3</v>
      </c>
      <c r="AH189" s="16">
        <f>VLOOKUP($A$188,'集計'!$A$4:$EP$61,127,FALSE)</f>
        <v>33.9</v>
      </c>
      <c r="AI189" s="15">
        <f>VLOOKUP($A$188,'集計'!$A$4:$EP$61,131,FALSE)</f>
        <v>0</v>
      </c>
      <c r="AJ189" s="16">
        <f>VLOOKUP($A$188,'集計'!$A$4:$EP$61,135,FALSE)</f>
        <v>0</v>
      </c>
      <c r="AK189" s="15">
        <f>VLOOKUP($A$188,'集計'!$A$4:$EP$61,139,FALSE)</f>
        <v>392</v>
      </c>
      <c r="AL189" s="16">
        <f>VLOOKUP($A$188,'集計'!$A$4:$EP$61,143,FALSE)</f>
        <v>383.73</v>
      </c>
    </row>
    <row r="190" spans="1:38" ht="13.5">
      <c r="A190" s="32" t="s">
        <v>23</v>
      </c>
      <c r="B190" s="15">
        <f>VLOOKUP($A$188,'集計'!$A$4:$EP$61,4,FALSE)</f>
        <v>91</v>
      </c>
      <c r="C190" s="16">
        <f>VLOOKUP($A$188,'集計'!$A$4:$EP$61,8,FALSE)</f>
        <v>24.55</v>
      </c>
      <c r="D190" s="15">
        <f>VLOOKUP($A$188,'集計'!$A$4:$EP$61,(12),FALSE)</f>
        <v>14</v>
      </c>
      <c r="E190" s="16">
        <f>VLOOKUP($A$188,'集計'!$A$4:$EP$61,16,FALSE)</f>
        <v>27.2</v>
      </c>
      <c r="F190" s="15">
        <f>VLOOKUP($A$188,'集計'!$A$4:$EP$61,20,FALSE)</f>
        <v>5</v>
      </c>
      <c r="G190" s="16">
        <f>VLOOKUP($A$188,'集計'!$A$4:$EP$61,24,FALSE)</f>
        <v>26.8</v>
      </c>
      <c r="H190" s="15">
        <f>VLOOKUP($A$188,'集計'!$A$4:$EP$61,28,FALSE)</f>
        <v>3</v>
      </c>
      <c r="I190" s="16">
        <f>VLOOKUP($A$188,'集計'!$A$4:$EP$61,32,FALSE)</f>
        <v>47.4</v>
      </c>
      <c r="J190" s="15">
        <f>VLOOKUP($A$188,'集計'!$A$4:$EP$61,36,FALSE)</f>
        <v>6</v>
      </c>
      <c r="K190" s="16">
        <f>VLOOKUP($A$188,'集計'!$A$4:$EP$61,40,FALSE)</f>
        <v>67.2</v>
      </c>
      <c r="L190" s="15">
        <f>VLOOKUP($A$188,'集計'!$A$4:$EP$61,44,FALSE)</f>
        <v>1</v>
      </c>
      <c r="M190" s="16">
        <f>VLOOKUP($A$188,'集計'!$A$4:$EP$61,48,FALSE)</f>
        <v>2.9</v>
      </c>
      <c r="N190" s="15">
        <f>VLOOKUP($A$188,'集計'!$A$4:$EP$61,52,FALSE)</f>
        <v>0</v>
      </c>
      <c r="O190" s="16">
        <f>VLOOKUP($A$188,'集計'!$A$4:$EP$61,56,FALSE)</f>
        <v>0</v>
      </c>
      <c r="P190" s="15">
        <f>VLOOKUP($A$188,'集計'!$A$4:$EP$61,60,FALSE)</f>
        <v>0</v>
      </c>
      <c r="Q190" s="16">
        <f>VLOOKUP($A$188,'集計'!$A$4:$EP$61,64,FALSE)</f>
        <v>0</v>
      </c>
      <c r="R190" s="15">
        <f>VLOOKUP($A$188,'集計'!$A$4:$EP$61,68,FALSE)</f>
        <v>120</v>
      </c>
      <c r="S190" s="16">
        <f>VLOOKUP($A$188,'集計'!$A$4:$EP$61,72,FALSE)</f>
        <v>196.05</v>
      </c>
      <c r="T190" s="32" t="s">
        <v>23</v>
      </c>
      <c r="U190" s="15">
        <f>VLOOKUP($A$188,'集計'!$A$4:$EP$61,76,FALSE)</f>
        <v>91</v>
      </c>
      <c r="V190" s="16">
        <f>VLOOKUP($A$188,'集計'!$A$4:$EP$61,80,FALSE)</f>
        <v>25.28</v>
      </c>
      <c r="W190" s="15">
        <f>VLOOKUP($A$188,'集計'!$A$4:$EP$61,84,FALSE)</f>
        <v>13</v>
      </c>
      <c r="X190" s="16">
        <f>VLOOKUP($A$188,'集計'!$A$4:$EP$61,88,FALSE)</f>
        <v>25.25</v>
      </c>
      <c r="Y190" s="15">
        <f>VLOOKUP($A$188,'集計'!$A$4:$EP$61,92,FALSE)</f>
        <v>5</v>
      </c>
      <c r="Z190" s="16">
        <f>VLOOKUP($A$188,'集計'!$A$4:$EP$61,96,FALSE)</f>
        <v>23.8</v>
      </c>
      <c r="AA190" s="15">
        <f>VLOOKUP($A$188,'集計'!$A$4:$EP$61,100,FALSE)</f>
        <v>2</v>
      </c>
      <c r="AB190" s="16">
        <f>VLOOKUP($A$188,'集計'!$A$4:$EP$61,104,FALSE)</f>
        <v>28.8</v>
      </c>
      <c r="AC190" s="15">
        <f>VLOOKUP($A$188,'集計'!$A$4:$EP$61,108,FALSE)</f>
        <v>5</v>
      </c>
      <c r="AD190" s="16">
        <f>VLOOKUP($A$188,'集計'!$A$4:$EP$61,112,FALSE)</f>
        <v>64.6</v>
      </c>
      <c r="AE190" s="15">
        <f>VLOOKUP($A$188,'集計'!$A$4:$EP$61,116,FALSE)</f>
        <v>1</v>
      </c>
      <c r="AF190" s="16">
        <f>VLOOKUP($A$188,'集計'!$A$4:$EP$61,120,FALSE)</f>
        <v>2.9</v>
      </c>
      <c r="AG190" s="15">
        <f>VLOOKUP($A$188,'集計'!$A$4:$EP$61,124,FALSE)</f>
        <v>0</v>
      </c>
      <c r="AH190" s="16">
        <f>VLOOKUP($A$188,'集計'!$A$4:$EP$61,128,FALSE)</f>
        <v>0</v>
      </c>
      <c r="AI190" s="15">
        <f>VLOOKUP($A$188,'集計'!$A$4:$EP$61,132,FALSE)</f>
        <v>0</v>
      </c>
      <c r="AJ190" s="16">
        <f>VLOOKUP($A$188,'集計'!$A$4:$EP$61,136,FALSE)</f>
        <v>0</v>
      </c>
      <c r="AK190" s="15">
        <f>VLOOKUP($A$188,'集計'!$A$4:$EP$61,140,FALSE)</f>
        <v>117</v>
      </c>
      <c r="AL190" s="16">
        <f>VLOOKUP($A$188,'集計'!$A$4:$EP$61,144,FALSE)</f>
        <v>170.63</v>
      </c>
    </row>
    <row r="191" spans="1:38" ht="13.5">
      <c r="A191" s="32" t="s">
        <v>24</v>
      </c>
      <c r="B191" s="15">
        <f>VLOOKUP($A$188,'集計'!$A$4:$EP$61,5,FALSE)</f>
        <v>31</v>
      </c>
      <c r="C191" s="16">
        <f>VLOOKUP($A$188,'集計'!$A$4:$EP$61,9,FALSE)</f>
        <v>8.47</v>
      </c>
      <c r="D191" s="15">
        <f>VLOOKUP($A$188,'集計'!$A$4:$EP$61,13,FALSE)</f>
        <v>7</v>
      </c>
      <c r="E191" s="16">
        <f>VLOOKUP($A$188,'集計'!$A$4:$EP$61,17,FALSE)</f>
        <v>18.2</v>
      </c>
      <c r="F191" s="15">
        <f>VLOOKUP($A$188,'集計'!$A$4:$EP$61,21,FALSE)</f>
        <v>7</v>
      </c>
      <c r="G191" s="16">
        <f>VLOOKUP($A$188,'集計'!$A$4:$EP$61,25,FALSE)</f>
        <v>50</v>
      </c>
      <c r="H191" s="15">
        <f>VLOOKUP($A$188,'集計'!$A$4:$EP$61,29,FALSE)</f>
        <v>11</v>
      </c>
      <c r="I191" s="16">
        <f>VLOOKUP($A$188,'集計'!$A$4:$EP$61,33,FALSE)</f>
        <v>154.4</v>
      </c>
      <c r="J191" s="15">
        <f>VLOOKUP($A$188,'集計'!$A$4:$EP$61,37,FALSE)</f>
        <v>7</v>
      </c>
      <c r="K191" s="16">
        <f>VLOOKUP($A$188,'集計'!$A$4:$EP$61,41,FALSE)</f>
        <v>112.28</v>
      </c>
      <c r="L191" s="15">
        <f>VLOOKUP($A$188,'集計'!$A$4:$EP$61,45,FALSE)</f>
        <v>7</v>
      </c>
      <c r="M191" s="16">
        <f>VLOOKUP($A$188,'集計'!$A$4:$EP$61,49,FALSE)</f>
        <v>302.6</v>
      </c>
      <c r="N191" s="15">
        <f>VLOOKUP($A$188,'集計'!$A$4:$EP$61,53,FALSE)</f>
        <v>1</v>
      </c>
      <c r="O191" s="16">
        <f>VLOOKUP($A$188,'集計'!$A$4:$EP$61,57,FALSE)</f>
        <v>3.5</v>
      </c>
      <c r="P191" s="15">
        <f>VLOOKUP($A$188,'集計'!$A$4:$EP$61,61,FALSE)</f>
        <v>0</v>
      </c>
      <c r="Q191" s="16">
        <f>VLOOKUP($A$188,'集計'!$A$4:$EP$61,65,FALSE)</f>
        <v>0</v>
      </c>
      <c r="R191" s="15">
        <f>VLOOKUP($A$188,'集計'!$A$4:$EP$61,69,FALSE)</f>
        <v>71</v>
      </c>
      <c r="S191" s="16">
        <f>VLOOKUP($A$188,'集計'!$A$4:$EP$61,73,FALSE)</f>
        <v>649.45</v>
      </c>
      <c r="T191" s="32" t="s">
        <v>24</v>
      </c>
      <c r="U191" s="15">
        <f>VLOOKUP($A$188,'集計'!$A$4:$EP$61,77,FALSE)</f>
        <v>31</v>
      </c>
      <c r="V191" s="16">
        <f>VLOOKUP($A$188,'集計'!$A$4:$EP$61,81,FALSE)</f>
        <v>8.58</v>
      </c>
      <c r="W191" s="15">
        <f>VLOOKUP($A$188,'集計'!$A$4:$EP$61,85,FALSE)</f>
        <v>7</v>
      </c>
      <c r="X191" s="16">
        <f>VLOOKUP($A$188,'集計'!$A$4:$EP$61,89,FALSE)</f>
        <v>17.9</v>
      </c>
      <c r="Y191" s="15">
        <f>VLOOKUP($A$188,'集計'!$A$4:$EP$61,93,FALSE)</f>
        <v>7</v>
      </c>
      <c r="Z191" s="16">
        <f>VLOOKUP($A$188,'集計'!$A$4:$EP$61,97,FALSE)</f>
        <v>49.8</v>
      </c>
      <c r="AA191" s="15">
        <f>VLOOKUP($A$188,'集計'!$A$4:$EP$61,101,FALSE)</f>
        <v>12</v>
      </c>
      <c r="AB191" s="16">
        <f>VLOOKUP($A$188,'集計'!$A$4:$EP$61,105,FALSE)</f>
        <v>145.85</v>
      </c>
      <c r="AC191" s="15">
        <f>VLOOKUP($A$188,'集計'!$A$4:$EP$61,109,FALSE)</f>
        <v>7</v>
      </c>
      <c r="AD191" s="16">
        <f>VLOOKUP($A$188,'集計'!$A$4:$EP$61,113,FALSE)</f>
        <v>99.78</v>
      </c>
      <c r="AE191" s="15">
        <f>VLOOKUP($A$188,'集計'!$A$4:$EP$61,117,FALSE)</f>
        <v>7</v>
      </c>
      <c r="AF191" s="16">
        <f>VLOOKUP($A$188,'集計'!$A$4:$EP$61,121,FALSE)</f>
        <v>285.02</v>
      </c>
      <c r="AG191" s="15">
        <f>VLOOKUP($A$188,'集計'!$A$4:$EP$61,125,FALSE)</f>
        <v>1</v>
      </c>
      <c r="AH191" s="16">
        <f>VLOOKUP($A$188,'集計'!$A$4:$EP$61,129,FALSE)</f>
        <v>3.5</v>
      </c>
      <c r="AI191" s="15">
        <f>VLOOKUP($A$188,'集計'!$A$4:$EP$61,133,FALSE)</f>
        <v>0</v>
      </c>
      <c r="AJ191" s="16">
        <f>VLOOKUP($A$188,'集計'!$A$4:$EP$61,137,FALSE)</f>
        <v>0</v>
      </c>
      <c r="AK191" s="15">
        <f>VLOOKUP($A$188,'集計'!$A$4:$EP$61,141,FALSE)</f>
        <v>72</v>
      </c>
      <c r="AL191" s="16">
        <f>VLOOKUP($A$188,'集計'!$A$4:$EP$61,145,FALSE)</f>
        <v>610.43</v>
      </c>
    </row>
    <row r="192" spans="1:38" ht="13.5">
      <c r="A192" s="32" t="s">
        <v>58</v>
      </c>
      <c r="B192" s="15">
        <f>VLOOKUP($A$192,'集計'!$A$4:$EP$61,6,FALSE)</f>
        <v>817</v>
      </c>
      <c r="C192" s="16">
        <f>VLOOKUP($A$192,'集計'!$A$4:$EP$61,10,FALSE)</f>
        <v>157.48</v>
      </c>
      <c r="D192" s="15">
        <f>VLOOKUP($A$192,'集計'!$A$4:$EP$61,14,FALSE)</f>
        <v>72</v>
      </c>
      <c r="E192" s="16">
        <f>VLOOKUP($A$192,'集計'!$A$4:$EP$61,18,FALSE)</f>
        <v>150.9</v>
      </c>
      <c r="F192" s="15">
        <f>VLOOKUP($A$192,'集計'!$A$4:$EP$61,22,FALSE)</f>
        <v>21</v>
      </c>
      <c r="G192" s="16">
        <f>VLOOKUP($A$192,'集計'!$A$4:$EP$61,26,FALSE)</f>
        <v>116.6</v>
      </c>
      <c r="H192" s="15">
        <f>VLOOKUP($A$192,'集計'!$A$4:$EP$61,30,FALSE)</f>
        <v>27</v>
      </c>
      <c r="I192" s="16">
        <f>VLOOKUP($A$192,'集計'!$A$4:$EP$61,34,FALSE)</f>
        <v>558.3</v>
      </c>
      <c r="J192" s="15">
        <f>VLOOKUP($A$192,'集計'!$A$4:$EP$61,38,FALSE)</f>
        <v>17</v>
      </c>
      <c r="K192" s="16">
        <f>VLOOKUP($A$192,'集計'!$A$4:$EP$61,42,FALSE)</f>
        <v>344.9</v>
      </c>
      <c r="L192" s="15">
        <f>VLOOKUP($A$192,'集計'!$A$4:$EP$61,46,FALSE)</f>
        <v>10</v>
      </c>
      <c r="M192" s="16">
        <f>VLOOKUP($A$192,'集計'!$A$4:$EP$61,50,FALSE)</f>
        <v>583.7</v>
      </c>
      <c r="N192" s="15">
        <f>VLOOKUP($A$192,'集計'!$A$4:$EP$61,54,FALSE)</f>
        <v>10</v>
      </c>
      <c r="O192" s="16">
        <f>VLOOKUP($A$192,'集計'!$A$4:$EP$61,58,FALSE)</f>
        <v>118.4</v>
      </c>
      <c r="P192" s="15">
        <f>VLOOKUP($A$192,'集計'!$A$4:$EP$61,62,FALSE)</f>
        <v>6</v>
      </c>
      <c r="Q192" s="16">
        <f>VLOOKUP($A$192,'集計'!$A$4:$EP$61,66,FALSE)</f>
        <v>669.4</v>
      </c>
      <c r="R192" s="15">
        <f>VLOOKUP($A$192,'集計'!$A$4:$EP$61,70,FALSE)</f>
        <v>980</v>
      </c>
      <c r="S192" s="16">
        <f>VLOOKUP($A$192,'集計'!$A$4:$EP$61,74,FALSE)</f>
        <v>2699.68</v>
      </c>
      <c r="T192" s="32" t="s">
        <v>58</v>
      </c>
      <c r="U192" s="15">
        <f>VLOOKUP($A$192,'集計'!$A$4:$EP$61,78,FALSE)</f>
        <v>799</v>
      </c>
      <c r="V192" s="16">
        <f>VLOOKUP($A$192,'集計'!$A$4:$EP$61,82,FALSE)</f>
        <v>152.67</v>
      </c>
      <c r="W192" s="15">
        <f>VLOOKUP($A$192,'集計'!$A$4:$EP$61,86,FALSE)</f>
        <v>67</v>
      </c>
      <c r="X192" s="16">
        <f>VLOOKUP($A$192,'集計'!$A$4:$EP$61,90,FALSE)</f>
        <v>139.5</v>
      </c>
      <c r="Y192" s="15">
        <f>VLOOKUP($A$192,'集計'!$A$4:$EP$61,94,FALSE)</f>
        <v>21</v>
      </c>
      <c r="Z192" s="16">
        <f>VLOOKUP($A$192,'集計'!$A$4:$EP$61,98,FALSE)</f>
        <v>114.9</v>
      </c>
      <c r="AA192" s="15">
        <f>VLOOKUP($A$192,'集計'!$A$4:$EP$61,102,FALSE)</f>
        <v>26</v>
      </c>
      <c r="AB192" s="16">
        <f>VLOOKUP($A$192,'集計'!$A$4:$EP$61,106,FALSE)</f>
        <v>474.2</v>
      </c>
      <c r="AC192" s="15">
        <f>VLOOKUP($A$192,'集計'!$A$4:$EP$61,110,FALSE)</f>
        <v>17</v>
      </c>
      <c r="AD192" s="16">
        <f>VLOOKUP($A$192,'集計'!$A$4:$EP$61,114,FALSE)</f>
        <v>236</v>
      </c>
      <c r="AE192" s="15">
        <f>VLOOKUP($A$192,'集計'!$A$4:$EP$61,118,FALSE)</f>
        <v>9</v>
      </c>
      <c r="AF192" s="16">
        <f>VLOOKUP($A$192,'集計'!$A$4:$EP$61,122,FALSE)</f>
        <v>516.1</v>
      </c>
      <c r="AG192" s="15">
        <f>VLOOKUP($A$192,'集計'!$A$4:$EP$61,126,FALSE)</f>
        <v>10</v>
      </c>
      <c r="AH192" s="16">
        <f>VLOOKUP($A$192,'集計'!$A$4:$EP$61,130,FALSE)</f>
        <v>80.5</v>
      </c>
      <c r="AI192" s="15">
        <f>VLOOKUP($A$192,'集計'!$A$4:$EP$61,134,FALSE)</f>
        <v>5</v>
      </c>
      <c r="AJ192" s="16">
        <f>VLOOKUP($A$192,'集計'!$A$4:$EP$61,138,FALSE)</f>
        <v>565.8</v>
      </c>
      <c r="AK192" s="15">
        <f>VLOOKUP($A$192,'集計'!$A$4:$EP$61,142,FALSE)</f>
        <v>954</v>
      </c>
      <c r="AL192" s="16">
        <f>VLOOKUP($A$192,'集計'!$A$4:$EP$61,146,FALSE)</f>
        <v>2279.67</v>
      </c>
    </row>
    <row r="193" spans="1:38" ht="13.5">
      <c r="A193" s="32" t="s">
        <v>22</v>
      </c>
      <c r="B193" s="15">
        <f>VLOOKUP($A$192,'集計'!$A$4:$EP$61,3,FALSE)</f>
        <v>643</v>
      </c>
      <c r="C193" s="16">
        <f>VLOOKUP($A$192,'集計'!$A$4:$EP$61,7,FALSE)</f>
        <v>122.9</v>
      </c>
      <c r="D193" s="15">
        <f>VLOOKUP($A$192,'集計'!$A$4:$EP$61,11,FALSE)</f>
        <v>49</v>
      </c>
      <c r="E193" s="16">
        <f>VLOOKUP($A$192,'集計'!$A$4:$EP$61,15,FALSE)</f>
        <v>107.5</v>
      </c>
      <c r="F193" s="15">
        <f>VLOOKUP($A$192,'集計'!$A$4:$EP$61,19,FALSE)</f>
        <v>14</v>
      </c>
      <c r="G193" s="16">
        <f>VLOOKUP($A$192,'集計'!$A$4:$EP$61,23,FALSE)</f>
        <v>72.4</v>
      </c>
      <c r="H193" s="15">
        <f>VLOOKUP($A$192,'集計'!$A$4:$EP$61,27,FALSE)</f>
        <v>6</v>
      </c>
      <c r="I193" s="16">
        <f>VLOOKUP($A$192,'集計'!$A$4:$EP$61,31,FALSE)</f>
        <v>115.3</v>
      </c>
      <c r="J193" s="15">
        <f>VLOOKUP($A$192,'集計'!$A$4:$EP$61,35,FALSE)</f>
        <v>5</v>
      </c>
      <c r="K193" s="16">
        <f>VLOOKUP($A$192,'集計'!$A$4:$EP$61,39,FALSE)</f>
        <v>62.6</v>
      </c>
      <c r="L193" s="15">
        <f>VLOOKUP($A$192,'集計'!$A$4:$EP$61,43,FALSE)</f>
        <v>0</v>
      </c>
      <c r="M193" s="16">
        <f>VLOOKUP($A$192,'集計'!$A$4:$EP$61,47,FALSE)</f>
        <v>0</v>
      </c>
      <c r="N193" s="15">
        <f>VLOOKUP($A$192,'集計'!$A$4:$EP$61,51,FALSE)</f>
        <v>1</v>
      </c>
      <c r="O193" s="16">
        <f>VLOOKUP($A$192,'集計'!$A$4:$EP$61,55,FALSE)</f>
        <v>4.7</v>
      </c>
      <c r="P193" s="15">
        <f>VLOOKUP($A$192,'集計'!$A$4:$EP$61,59,FALSE)</f>
        <v>0</v>
      </c>
      <c r="Q193" s="16">
        <f>VLOOKUP($A$192,'集計'!$A$4:$EP$61,63,FALSE)</f>
        <v>0</v>
      </c>
      <c r="R193" s="15">
        <f>VLOOKUP($A$192,'集計'!$A$4:$EP$61,67,FALSE)</f>
        <v>718</v>
      </c>
      <c r="S193" s="16">
        <f>VLOOKUP($A$192,'集計'!$A$4:$EP$61,71,FALSE)</f>
        <v>485.4</v>
      </c>
      <c r="T193" s="32" t="s">
        <v>22</v>
      </c>
      <c r="U193" s="15">
        <f>VLOOKUP($A$192,'集計'!$A$4:$EP$61,75,FALSE)</f>
        <v>638</v>
      </c>
      <c r="V193" s="16">
        <f>VLOOKUP($A$192,'集計'!$A$4:$EP$61,79,FALSE)</f>
        <v>121.43</v>
      </c>
      <c r="W193" s="15">
        <f>VLOOKUP($A$192,'集計'!$A$4:$EP$61,83,FALSE)</f>
        <v>47</v>
      </c>
      <c r="X193" s="16">
        <f>VLOOKUP($A$192,'集計'!$A$4:$EP$61,87,FALSE)</f>
        <v>104</v>
      </c>
      <c r="Y193" s="15">
        <f>VLOOKUP($A$192,'集計'!$A$4:$EP$61,91,FALSE)</f>
        <v>14</v>
      </c>
      <c r="Z193" s="16">
        <f>VLOOKUP($A$192,'集計'!$A$4:$EP$61,95,FALSE)</f>
        <v>72.1</v>
      </c>
      <c r="AA193" s="15">
        <f>VLOOKUP($A$192,'集計'!$A$4:$EP$61,99,FALSE)</f>
        <v>6</v>
      </c>
      <c r="AB193" s="16">
        <f>VLOOKUP($A$192,'集計'!$A$4:$EP$61,103,FALSE)</f>
        <v>110.6</v>
      </c>
      <c r="AC193" s="15">
        <f>VLOOKUP($A$192,'集計'!$A$4:$EP$61,107,FALSE)</f>
        <v>5</v>
      </c>
      <c r="AD193" s="16">
        <f>VLOOKUP($A$192,'集計'!$A$4:$EP$61,111,FALSE)</f>
        <v>57.5</v>
      </c>
      <c r="AE193" s="15">
        <f>VLOOKUP($A$192,'集計'!$A$4:$EP$61,115,FALSE)</f>
        <v>0</v>
      </c>
      <c r="AF193" s="16">
        <f>VLOOKUP($A$192,'集計'!$A$4:$EP$61,119,FALSE)</f>
        <v>0</v>
      </c>
      <c r="AG193" s="15">
        <f>VLOOKUP($A$192,'集計'!$A$4:$EP$61,123,FALSE)</f>
        <v>1</v>
      </c>
      <c r="AH193" s="16">
        <f>VLOOKUP($A$192,'集計'!$A$4:$EP$61,127,FALSE)</f>
        <v>4.7</v>
      </c>
      <c r="AI193" s="15">
        <f>VLOOKUP($A$192,'集計'!$A$4:$EP$61,131,FALSE)</f>
        <v>0</v>
      </c>
      <c r="AJ193" s="16">
        <f>VLOOKUP($A$192,'集計'!$A$4:$EP$61,135,FALSE)</f>
        <v>0</v>
      </c>
      <c r="AK193" s="15">
        <f>VLOOKUP($A$192,'集計'!$A$4:$EP$61,139,FALSE)</f>
        <v>711</v>
      </c>
      <c r="AL193" s="16">
        <f>VLOOKUP($A$192,'集計'!$A$4:$EP$61,143,FALSE)</f>
        <v>470.33</v>
      </c>
    </row>
    <row r="194" spans="1:38" ht="13.5">
      <c r="A194" s="32" t="s">
        <v>23</v>
      </c>
      <c r="B194" s="15">
        <f>VLOOKUP($A$192,'集計'!$A$4:$EP$61,4,FALSE)</f>
        <v>152</v>
      </c>
      <c r="C194" s="16">
        <f>VLOOKUP($A$192,'集計'!$A$4:$EP$61,8,FALSE)</f>
        <v>29.23</v>
      </c>
      <c r="D194" s="15">
        <f>VLOOKUP($A$192,'集計'!$A$4:$EP$61,(12),FALSE)</f>
        <v>19</v>
      </c>
      <c r="E194" s="16">
        <f>VLOOKUP($A$192,'集計'!$A$4:$EP$61,16,FALSE)</f>
        <v>37.5</v>
      </c>
      <c r="F194" s="15">
        <f>VLOOKUP($A$192,'集計'!$A$4:$EP$61,20,FALSE)</f>
        <v>5</v>
      </c>
      <c r="G194" s="16">
        <f>VLOOKUP($A$192,'集計'!$A$4:$EP$61,24,FALSE)</f>
        <v>28.3</v>
      </c>
      <c r="H194" s="15">
        <f>VLOOKUP($A$192,'集計'!$A$4:$EP$61,28,FALSE)</f>
        <v>6</v>
      </c>
      <c r="I194" s="16">
        <f>VLOOKUP($A$192,'集計'!$A$4:$EP$61,32,FALSE)</f>
        <v>115.8</v>
      </c>
      <c r="J194" s="15">
        <f>VLOOKUP($A$192,'集計'!$A$4:$EP$61,36,FALSE)</f>
        <v>2</v>
      </c>
      <c r="K194" s="16">
        <f>VLOOKUP($A$192,'集計'!$A$4:$EP$61,40,FALSE)</f>
        <v>37.6</v>
      </c>
      <c r="L194" s="15">
        <f>VLOOKUP($A$192,'集計'!$A$4:$EP$61,44,FALSE)</f>
        <v>0</v>
      </c>
      <c r="M194" s="16">
        <f>VLOOKUP($A$192,'集計'!$A$4:$EP$61,48,FALSE)</f>
        <v>0</v>
      </c>
      <c r="N194" s="15">
        <f>VLOOKUP($A$192,'集計'!$A$4:$EP$61,52,FALSE)</f>
        <v>1</v>
      </c>
      <c r="O194" s="16">
        <f>VLOOKUP($A$192,'集計'!$A$4:$EP$61,56,FALSE)</f>
        <v>6.6</v>
      </c>
      <c r="P194" s="15">
        <f>VLOOKUP($A$192,'集計'!$A$4:$EP$61,60,FALSE)</f>
        <v>1</v>
      </c>
      <c r="Q194" s="16">
        <f>VLOOKUP($A$192,'集計'!$A$4:$EP$61,64,FALSE)</f>
        <v>59.9</v>
      </c>
      <c r="R194" s="15">
        <f>VLOOKUP($A$192,'集計'!$A$4:$EP$61,68,FALSE)</f>
        <v>186</v>
      </c>
      <c r="S194" s="16">
        <f>VLOOKUP($A$192,'集計'!$A$4:$EP$61,72,FALSE)</f>
        <v>314.93</v>
      </c>
      <c r="T194" s="32" t="s">
        <v>23</v>
      </c>
      <c r="U194" s="15">
        <f>VLOOKUP($A$192,'集計'!$A$4:$EP$61,76,FALSE)</f>
        <v>144</v>
      </c>
      <c r="V194" s="16">
        <f>VLOOKUP($A$192,'集計'!$A$4:$EP$61,80,FALSE)</f>
        <v>27.94</v>
      </c>
      <c r="W194" s="15">
        <f>VLOOKUP($A$192,'集計'!$A$4:$EP$61,84,FALSE)</f>
        <v>17</v>
      </c>
      <c r="X194" s="16">
        <f>VLOOKUP($A$192,'集計'!$A$4:$EP$61,88,FALSE)</f>
        <v>30.6</v>
      </c>
      <c r="Y194" s="15">
        <f>VLOOKUP($A$192,'集計'!$A$4:$EP$61,92,FALSE)</f>
        <v>5</v>
      </c>
      <c r="Z194" s="16">
        <f>VLOOKUP($A$192,'集計'!$A$4:$EP$61,96,FALSE)</f>
        <v>26.9</v>
      </c>
      <c r="AA194" s="15">
        <f>VLOOKUP($A$192,'集計'!$A$4:$EP$61,100,FALSE)</f>
        <v>6</v>
      </c>
      <c r="AB194" s="16">
        <f>VLOOKUP($A$192,'集計'!$A$4:$EP$61,104,FALSE)</f>
        <v>69.1</v>
      </c>
      <c r="AC194" s="15">
        <f>VLOOKUP($A$192,'集計'!$A$4:$EP$61,108,FALSE)</f>
        <v>2</v>
      </c>
      <c r="AD194" s="16">
        <f>VLOOKUP($A$192,'集計'!$A$4:$EP$61,112,FALSE)</f>
        <v>36.3</v>
      </c>
      <c r="AE194" s="15">
        <f>VLOOKUP($A$192,'集計'!$A$4:$EP$61,116,FALSE)</f>
        <v>0</v>
      </c>
      <c r="AF194" s="16">
        <f>VLOOKUP($A$192,'集計'!$A$4:$EP$61,120,FALSE)</f>
        <v>0</v>
      </c>
      <c r="AG194" s="15">
        <f>VLOOKUP($A$192,'集計'!$A$4:$EP$61,124,FALSE)</f>
        <v>1</v>
      </c>
      <c r="AH194" s="16">
        <f>VLOOKUP($A$192,'集計'!$A$4:$EP$61,128,FALSE)</f>
        <v>6.6</v>
      </c>
      <c r="AI194" s="15">
        <f>VLOOKUP($A$192,'集計'!$A$4:$EP$61,132,FALSE)</f>
        <v>1</v>
      </c>
      <c r="AJ194" s="16">
        <f>VLOOKUP($A$192,'集計'!$A$4:$EP$61,136,FALSE)</f>
        <v>59.9</v>
      </c>
      <c r="AK194" s="15">
        <f>VLOOKUP($A$192,'集計'!$A$4:$EP$61,140,FALSE)</f>
        <v>176</v>
      </c>
      <c r="AL194" s="16">
        <f>VLOOKUP($A$192,'集計'!$A$4:$EP$61,144,FALSE)</f>
        <v>257.34</v>
      </c>
    </row>
    <row r="195" spans="1:38" ht="13.5">
      <c r="A195" s="32" t="s">
        <v>24</v>
      </c>
      <c r="B195" s="15">
        <f>VLOOKUP($A$192,'集計'!$A$4:$EP$61,5,FALSE)</f>
        <v>22</v>
      </c>
      <c r="C195" s="16">
        <f>VLOOKUP($A$192,'集計'!$A$4:$EP$61,9,FALSE)</f>
        <v>5.35</v>
      </c>
      <c r="D195" s="15">
        <f>VLOOKUP($A$192,'集計'!$A$4:$EP$61,13,FALSE)</f>
        <v>4</v>
      </c>
      <c r="E195" s="16">
        <f>VLOOKUP($A$192,'集計'!$A$4:$EP$61,17,FALSE)</f>
        <v>5.9</v>
      </c>
      <c r="F195" s="15">
        <f>VLOOKUP($A$192,'集計'!$A$4:$EP$61,21,FALSE)</f>
        <v>2</v>
      </c>
      <c r="G195" s="16">
        <f>VLOOKUP($A$192,'集計'!$A$4:$EP$61,25,FALSE)</f>
        <v>15.9</v>
      </c>
      <c r="H195" s="15">
        <f>VLOOKUP($A$192,'集計'!$A$4:$EP$61,29,FALSE)</f>
        <v>15</v>
      </c>
      <c r="I195" s="16">
        <f>VLOOKUP($A$192,'集計'!$A$4:$EP$61,33,FALSE)</f>
        <v>327.2</v>
      </c>
      <c r="J195" s="15">
        <f>VLOOKUP($A$192,'集計'!$A$4:$EP$61,37,FALSE)</f>
        <v>10</v>
      </c>
      <c r="K195" s="16">
        <f>VLOOKUP($A$192,'集計'!$A$4:$EP$61,41,FALSE)</f>
        <v>244.7</v>
      </c>
      <c r="L195" s="15">
        <f>VLOOKUP($A$192,'集計'!$A$4:$EP$61,45,FALSE)</f>
        <v>10</v>
      </c>
      <c r="M195" s="16">
        <f>VLOOKUP($A$192,'集計'!$A$4:$EP$61,49,FALSE)</f>
        <v>583.7</v>
      </c>
      <c r="N195" s="15">
        <f>VLOOKUP($A$192,'集計'!$A$4:$EP$61,53,FALSE)</f>
        <v>8</v>
      </c>
      <c r="O195" s="16">
        <f>VLOOKUP($A$192,'集計'!$A$4:$EP$61,57,FALSE)</f>
        <v>107.1</v>
      </c>
      <c r="P195" s="15">
        <f>VLOOKUP($A$192,'集計'!$A$4:$EP$61,61,FALSE)</f>
        <v>5</v>
      </c>
      <c r="Q195" s="16">
        <f>VLOOKUP($A$192,'集計'!$A$4:$EP$61,65,FALSE)</f>
        <v>609.5</v>
      </c>
      <c r="R195" s="15">
        <f>VLOOKUP($A$192,'集計'!$A$4:$EP$61,69,FALSE)</f>
        <v>76</v>
      </c>
      <c r="S195" s="16">
        <f>VLOOKUP($A$192,'集計'!$A$4:$EP$61,73,FALSE)</f>
        <v>1899.35</v>
      </c>
      <c r="T195" s="32" t="s">
        <v>24</v>
      </c>
      <c r="U195" s="15">
        <f>VLOOKUP($A$192,'集計'!$A$4:$EP$61,77,FALSE)</f>
        <v>17</v>
      </c>
      <c r="V195" s="16">
        <f>VLOOKUP($A$192,'集計'!$A$4:$EP$61,81,FALSE)</f>
        <v>3.3</v>
      </c>
      <c r="W195" s="15">
        <f>VLOOKUP($A$192,'集計'!$A$4:$EP$61,85,FALSE)</f>
        <v>3</v>
      </c>
      <c r="X195" s="16">
        <f>VLOOKUP($A$192,'集計'!$A$4:$EP$61,89,FALSE)</f>
        <v>4.9</v>
      </c>
      <c r="Y195" s="15">
        <f>VLOOKUP($A$192,'集計'!$A$4:$EP$61,93,FALSE)</f>
        <v>2</v>
      </c>
      <c r="Z195" s="16">
        <f>VLOOKUP($A$192,'集計'!$A$4:$EP$61,97,FALSE)</f>
        <v>15.9</v>
      </c>
      <c r="AA195" s="15">
        <f>VLOOKUP($A$192,'集計'!$A$4:$EP$61,101,FALSE)</f>
        <v>14</v>
      </c>
      <c r="AB195" s="16">
        <f>VLOOKUP($A$192,'集計'!$A$4:$EP$61,105,FALSE)</f>
        <v>294.5</v>
      </c>
      <c r="AC195" s="15">
        <f>VLOOKUP($A$192,'集計'!$A$4:$EP$61,109,FALSE)</f>
        <v>10</v>
      </c>
      <c r="AD195" s="16">
        <f>VLOOKUP($A$192,'集計'!$A$4:$EP$61,113,FALSE)</f>
        <v>142.2</v>
      </c>
      <c r="AE195" s="15">
        <f>VLOOKUP($A$192,'集計'!$A$4:$EP$61,117,FALSE)</f>
        <v>9</v>
      </c>
      <c r="AF195" s="16">
        <f>VLOOKUP($A$192,'集計'!$A$4:$EP$61,121,FALSE)</f>
        <v>516.1</v>
      </c>
      <c r="AG195" s="15">
        <f>VLOOKUP($A$192,'集計'!$A$4:$EP$61,125,FALSE)</f>
        <v>8</v>
      </c>
      <c r="AH195" s="16">
        <f>VLOOKUP($A$192,'集計'!$A$4:$EP$61,129,FALSE)</f>
        <v>69.2</v>
      </c>
      <c r="AI195" s="15">
        <f>VLOOKUP($A$192,'集計'!$A$4:$EP$61,133,FALSE)</f>
        <v>4</v>
      </c>
      <c r="AJ195" s="16">
        <f>VLOOKUP($A$192,'集計'!$A$4:$EP$61,137,FALSE)</f>
        <v>505.9</v>
      </c>
      <c r="AK195" s="15">
        <f>VLOOKUP($A$192,'集計'!$A$4:$EP$61,141,FALSE)</f>
        <v>67</v>
      </c>
      <c r="AL195" s="16">
        <f>VLOOKUP($A$192,'集計'!$A$4:$EP$61,145,FALSE)</f>
        <v>1552</v>
      </c>
    </row>
    <row r="196" spans="1:38" ht="13.5">
      <c r="A196" s="32" t="s">
        <v>59</v>
      </c>
      <c r="B196" s="15">
        <f>VLOOKUP($A$196,'集計'!$A$4:$EP$61,6,FALSE)</f>
        <v>543</v>
      </c>
      <c r="C196" s="16">
        <f>VLOOKUP($A$196,'集計'!$A$4:$EP$61,10,FALSE)</f>
        <v>141.31</v>
      </c>
      <c r="D196" s="15">
        <f>VLOOKUP($A$196,'集計'!$A$4:$EP$61,14,FALSE)</f>
        <v>62</v>
      </c>
      <c r="E196" s="16">
        <f>VLOOKUP($A$196,'集計'!$A$4:$EP$61,18,FALSE)</f>
        <v>209.71</v>
      </c>
      <c r="F196" s="15">
        <f>VLOOKUP($A$196,'集計'!$A$4:$EP$61,22,FALSE)</f>
        <v>27</v>
      </c>
      <c r="G196" s="16">
        <f>VLOOKUP($A$196,'集計'!$A$4:$EP$61,26,FALSE)</f>
        <v>183.6</v>
      </c>
      <c r="H196" s="15">
        <f>VLOOKUP($A$196,'集計'!$A$4:$EP$61,30,FALSE)</f>
        <v>22</v>
      </c>
      <c r="I196" s="16">
        <f>VLOOKUP($A$196,'集計'!$A$4:$EP$61,34,FALSE)</f>
        <v>703.1</v>
      </c>
      <c r="J196" s="15">
        <f>VLOOKUP($A$196,'集計'!$A$4:$EP$61,38,FALSE)</f>
        <v>12</v>
      </c>
      <c r="K196" s="16">
        <f>VLOOKUP($A$196,'集計'!$A$4:$EP$61,42,FALSE)</f>
        <v>228.1</v>
      </c>
      <c r="L196" s="15">
        <f>VLOOKUP($A$196,'集計'!$A$4:$EP$61,46,FALSE)</f>
        <v>5</v>
      </c>
      <c r="M196" s="16">
        <f>VLOOKUP($A$196,'集計'!$A$4:$EP$61,50,FALSE)</f>
        <v>46.1</v>
      </c>
      <c r="N196" s="15">
        <f>VLOOKUP($A$196,'集計'!$A$4:$EP$61,54,FALSE)</f>
        <v>9</v>
      </c>
      <c r="O196" s="16">
        <f>VLOOKUP($A$196,'集計'!$A$4:$EP$61,58,FALSE)</f>
        <v>23</v>
      </c>
      <c r="P196" s="15">
        <f>VLOOKUP($A$196,'集計'!$A$4:$EP$61,62,FALSE)</f>
        <v>5</v>
      </c>
      <c r="Q196" s="16">
        <f>VLOOKUP($A$196,'集計'!$A$4:$EP$61,66,FALSE)</f>
        <v>506.5</v>
      </c>
      <c r="R196" s="15">
        <f>VLOOKUP($A$196,'集計'!$A$4:$EP$61,70,FALSE)</f>
        <v>685</v>
      </c>
      <c r="S196" s="16">
        <f>VLOOKUP($A$196,'集計'!$A$4:$EP$61,74,FALSE)</f>
        <v>2041.42</v>
      </c>
      <c r="T196" s="32" t="s">
        <v>59</v>
      </c>
      <c r="U196" s="15">
        <f>VLOOKUP($A$196,'集計'!$A$4:$EP$61,78,FALSE)</f>
        <v>472</v>
      </c>
      <c r="V196" s="16">
        <f>VLOOKUP($A$196,'集計'!$A$4:$EP$61,82,FALSE)</f>
        <v>108.91</v>
      </c>
      <c r="W196" s="15">
        <f>VLOOKUP($A$196,'集計'!$A$4:$EP$61,86,FALSE)</f>
        <v>40</v>
      </c>
      <c r="X196" s="16">
        <f>VLOOKUP($A$196,'集計'!$A$4:$EP$61,90,FALSE)</f>
        <v>91.5</v>
      </c>
      <c r="Y196" s="15">
        <f>VLOOKUP($A$196,'集計'!$A$4:$EP$61,94,FALSE)</f>
        <v>23</v>
      </c>
      <c r="Z196" s="16">
        <f>VLOOKUP($A$196,'集計'!$A$4:$EP$61,98,FALSE)</f>
        <v>146.2</v>
      </c>
      <c r="AA196" s="15">
        <f>VLOOKUP($A$196,'集計'!$A$4:$EP$61,102,FALSE)</f>
        <v>21</v>
      </c>
      <c r="AB196" s="16">
        <f>VLOOKUP($A$196,'集計'!$A$4:$EP$61,106,FALSE)</f>
        <v>546.3</v>
      </c>
      <c r="AC196" s="15">
        <f>VLOOKUP($A$196,'集計'!$A$4:$EP$61,110,FALSE)</f>
        <v>11</v>
      </c>
      <c r="AD196" s="16">
        <f>VLOOKUP($A$196,'集計'!$A$4:$EP$61,114,FALSE)</f>
        <v>153.2</v>
      </c>
      <c r="AE196" s="15">
        <f>VLOOKUP($A$196,'集計'!$A$4:$EP$61,118,FALSE)</f>
        <v>2</v>
      </c>
      <c r="AF196" s="16">
        <f>VLOOKUP($A$196,'集計'!$A$4:$EP$61,122,FALSE)</f>
        <v>6.6</v>
      </c>
      <c r="AG196" s="15">
        <f>VLOOKUP($A$196,'集計'!$A$4:$EP$61,126,FALSE)</f>
        <v>9</v>
      </c>
      <c r="AH196" s="16">
        <f>VLOOKUP($A$196,'集計'!$A$4:$EP$61,130,FALSE)</f>
        <v>20.5</v>
      </c>
      <c r="AI196" s="15">
        <f>VLOOKUP($A$196,'集計'!$A$4:$EP$61,134,FALSE)</f>
        <v>5</v>
      </c>
      <c r="AJ196" s="16">
        <f>VLOOKUP($A$196,'集計'!$A$4:$EP$61,138,FALSE)</f>
        <v>420.3</v>
      </c>
      <c r="AK196" s="15">
        <f>VLOOKUP($A$196,'集計'!$A$4:$EP$61,142,FALSE)</f>
        <v>583</v>
      </c>
      <c r="AL196" s="16">
        <f>VLOOKUP($A$196,'集計'!$A$4:$EP$61,146,FALSE)</f>
        <v>1493.51</v>
      </c>
    </row>
    <row r="197" spans="1:38" ht="13.5">
      <c r="A197" s="32" t="s">
        <v>22</v>
      </c>
      <c r="B197" s="15">
        <f>VLOOKUP($A$196,'集計'!$A$4:$EP$61,3,FALSE)</f>
        <v>376</v>
      </c>
      <c r="C197" s="16">
        <f>VLOOKUP($A$196,'集計'!$A$4:$EP$61,7,FALSE)</f>
        <v>97.63</v>
      </c>
      <c r="D197" s="15">
        <f>VLOOKUP($A$196,'集計'!$A$4:$EP$61,11,FALSE)</f>
        <v>37</v>
      </c>
      <c r="E197" s="16">
        <f>VLOOKUP($A$196,'集計'!$A$4:$EP$61,15,FALSE)</f>
        <v>93.7</v>
      </c>
      <c r="F197" s="15">
        <f>VLOOKUP($A$196,'集計'!$A$4:$EP$61,19,FALSE)</f>
        <v>10</v>
      </c>
      <c r="G197" s="16">
        <f>VLOOKUP($A$196,'集計'!$A$4:$EP$61,23,FALSE)</f>
        <v>69.1</v>
      </c>
      <c r="H197" s="15">
        <f>VLOOKUP($A$196,'集計'!$A$4:$EP$61,27,FALSE)</f>
        <v>7</v>
      </c>
      <c r="I197" s="16">
        <f>VLOOKUP($A$196,'集計'!$A$4:$EP$61,31,FALSE)</f>
        <v>261.1</v>
      </c>
      <c r="J197" s="15">
        <f>VLOOKUP($A$196,'集計'!$A$4:$EP$61,35,FALSE)</f>
        <v>3</v>
      </c>
      <c r="K197" s="16">
        <f>VLOOKUP($A$196,'集計'!$A$4:$EP$61,39,FALSE)</f>
        <v>28.3</v>
      </c>
      <c r="L197" s="15">
        <f>VLOOKUP($A$196,'集計'!$A$4:$EP$61,43,FALSE)</f>
        <v>2</v>
      </c>
      <c r="M197" s="16">
        <f>VLOOKUP($A$196,'集計'!$A$4:$EP$61,47,FALSE)</f>
        <v>42.4</v>
      </c>
      <c r="N197" s="15">
        <f>VLOOKUP($A$196,'集計'!$A$4:$EP$61,51,FALSE)</f>
        <v>6</v>
      </c>
      <c r="O197" s="16">
        <f>VLOOKUP($A$196,'集計'!$A$4:$EP$61,55,FALSE)</f>
        <v>6.5</v>
      </c>
      <c r="P197" s="15">
        <f>VLOOKUP($A$196,'集計'!$A$4:$EP$61,59,FALSE)</f>
        <v>1</v>
      </c>
      <c r="Q197" s="16">
        <f>VLOOKUP($A$196,'集計'!$A$4:$EP$61,63,FALSE)</f>
        <v>67</v>
      </c>
      <c r="R197" s="15">
        <f>VLOOKUP($A$196,'集計'!$A$4:$EP$61,67,FALSE)</f>
        <v>442</v>
      </c>
      <c r="S197" s="16">
        <f>VLOOKUP($A$196,'集計'!$A$4:$EP$61,71,FALSE)</f>
        <v>665.73</v>
      </c>
      <c r="T197" s="32" t="s">
        <v>22</v>
      </c>
      <c r="U197" s="15">
        <f>VLOOKUP($A$196,'集計'!$A$4:$EP$61,75,FALSE)</f>
        <v>330</v>
      </c>
      <c r="V197" s="16">
        <f>VLOOKUP($A$196,'集計'!$A$4:$EP$61,79,FALSE)</f>
        <v>74.12</v>
      </c>
      <c r="W197" s="15">
        <f>VLOOKUP($A$196,'集計'!$A$4:$EP$61,83,FALSE)</f>
        <v>26</v>
      </c>
      <c r="X197" s="16">
        <f>VLOOKUP($A$196,'集計'!$A$4:$EP$61,87,FALSE)</f>
        <v>43.8</v>
      </c>
      <c r="Y197" s="15">
        <f>VLOOKUP($A$196,'集計'!$A$4:$EP$61,91,FALSE)</f>
        <v>9</v>
      </c>
      <c r="Z197" s="16">
        <f>VLOOKUP($A$196,'集計'!$A$4:$EP$61,95,FALSE)</f>
        <v>53.9</v>
      </c>
      <c r="AA197" s="15">
        <f>VLOOKUP($A$196,'集計'!$A$4:$EP$61,99,FALSE)</f>
        <v>7</v>
      </c>
      <c r="AB197" s="16">
        <f>VLOOKUP($A$196,'集計'!$A$4:$EP$61,103,FALSE)</f>
        <v>209.5</v>
      </c>
      <c r="AC197" s="15">
        <f>VLOOKUP($A$196,'集計'!$A$4:$EP$61,107,FALSE)</f>
        <v>3</v>
      </c>
      <c r="AD197" s="16">
        <f>VLOOKUP($A$196,'集計'!$A$4:$EP$61,111,FALSE)</f>
        <v>28.3</v>
      </c>
      <c r="AE197" s="15">
        <f>VLOOKUP($A$196,'集計'!$A$4:$EP$61,115,FALSE)</f>
        <v>1</v>
      </c>
      <c r="AF197" s="16">
        <f>VLOOKUP($A$196,'集計'!$A$4:$EP$61,119,FALSE)</f>
        <v>4.6</v>
      </c>
      <c r="AG197" s="15">
        <f>VLOOKUP($A$196,'集計'!$A$4:$EP$61,123,FALSE)</f>
        <v>6</v>
      </c>
      <c r="AH197" s="16">
        <f>VLOOKUP($A$196,'集計'!$A$4:$EP$61,127,FALSE)</f>
        <v>6.2</v>
      </c>
      <c r="AI197" s="15">
        <f>VLOOKUP($A$196,'集計'!$A$4:$EP$61,131,FALSE)</f>
        <v>1</v>
      </c>
      <c r="AJ197" s="16">
        <f>VLOOKUP($A$196,'集計'!$A$4:$EP$61,135,FALSE)</f>
        <v>43.5</v>
      </c>
      <c r="AK197" s="15">
        <f>VLOOKUP($A$196,'集計'!$A$4:$EP$61,139,FALSE)</f>
        <v>383</v>
      </c>
      <c r="AL197" s="16">
        <f>VLOOKUP($A$196,'集計'!$A$4:$EP$61,143,FALSE)</f>
        <v>463.92</v>
      </c>
    </row>
    <row r="198" spans="1:38" ht="13.5">
      <c r="A198" s="32" t="s">
        <v>23</v>
      </c>
      <c r="B198" s="15">
        <f>VLOOKUP($A$196,'集計'!$A$4:$EP$61,4,FALSE)</f>
        <v>156</v>
      </c>
      <c r="C198" s="16">
        <f>VLOOKUP($A$196,'集計'!$A$4:$EP$61,8,FALSE)</f>
        <v>40.71</v>
      </c>
      <c r="D198" s="15">
        <f>VLOOKUP($A$196,'集計'!$A$4:$EP$61,(12),FALSE)</f>
        <v>22</v>
      </c>
      <c r="E198" s="16">
        <f>VLOOKUP($A$196,'集計'!$A$4:$EP$61,16,FALSE)</f>
        <v>91.11</v>
      </c>
      <c r="F198" s="15">
        <f>VLOOKUP($A$196,'集計'!$A$4:$EP$61,20,FALSE)</f>
        <v>7</v>
      </c>
      <c r="G198" s="16">
        <f>VLOOKUP($A$196,'集計'!$A$4:$EP$61,24,FALSE)</f>
        <v>32.7</v>
      </c>
      <c r="H198" s="15">
        <f>VLOOKUP($A$196,'集計'!$A$4:$EP$61,28,FALSE)</f>
        <v>5</v>
      </c>
      <c r="I198" s="16">
        <f>VLOOKUP($A$196,'集計'!$A$4:$EP$61,32,FALSE)</f>
        <v>175.9</v>
      </c>
      <c r="J198" s="15">
        <f>VLOOKUP($A$196,'集計'!$A$4:$EP$61,36,FALSE)</f>
        <v>2</v>
      </c>
      <c r="K198" s="16">
        <f>VLOOKUP($A$196,'集計'!$A$4:$EP$61,40,FALSE)</f>
        <v>27.9</v>
      </c>
      <c r="L198" s="15">
        <f>VLOOKUP($A$196,'集計'!$A$4:$EP$61,44,FALSE)</f>
        <v>1</v>
      </c>
      <c r="M198" s="16">
        <f>VLOOKUP($A$196,'集計'!$A$4:$EP$61,48,FALSE)</f>
        <v>2</v>
      </c>
      <c r="N198" s="15">
        <f>VLOOKUP($A$196,'集計'!$A$4:$EP$61,52,FALSE)</f>
        <v>0</v>
      </c>
      <c r="O198" s="16">
        <f>VLOOKUP($A$196,'集計'!$A$4:$EP$61,56,FALSE)</f>
        <v>0</v>
      </c>
      <c r="P198" s="15">
        <f>VLOOKUP($A$196,'集計'!$A$4:$EP$61,60,FALSE)</f>
        <v>0</v>
      </c>
      <c r="Q198" s="16">
        <f>VLOOKUP($A$196,'集計'!$A$4:$EP$61,64,FALSE)</f>
        <v>0</v>
      </c>
      <c r="R198" s="15">
        <f>VLOOKUP($A$196,'集計'!$A$4:$EP$61,68,FALSE)</f>
        <v>193</v>
      </c>
      <c r="S198" s="16">
        <f>VLOOKUP($A$196,'集計'!$A$4:$EP$61,72,FALSE)</f>
        <v>370.32</v>
      </c>
      <c r="T198" s="32" t="s">
        <v>23</v>
      </c>
      <c r="U198" s="15">
        <f>VLOOKUP($A$196,'集計'!$A$4:$EP$61,76,FALSE)</f>
        <v>134</v>
      </c>
      <c r="V198" s="16">
        <f>VLOOKUP($A$196,'集計'!$A$4:$EP$61,80,FALSE)</f>
        <v>32.89</v>
      </c>
      <c r="W198" s="15">
        <f>VLOOKUP($A$196,'集計'!$A$4:$EP$61,84,FALSE)</f>
        <v>13</v>
      </c>
      <c r="X198" s="16">
        <f>VLOOKUP($A$196,'集計'!$A$4:$EP$61,88,FALSE)</f>
        <v>33.1</v>
      </c>
      <c r="Y198" s="15">
        <f>VLOOKUP($A$196,'集計'!$A$4:$EP$61,92,FALSE)</f>
        <v>5</v>
      </c>
      <c r="Z198" s="16">
        <f>VLOOKUP($A$196,'集計'!$A$4:$EP$61,96,FALSE)</f>
        <v>19.5</v>
      </c>
      <c r="AA198" s="15">
        <f>VLOOKUP($A$196,'集計'!$A$4:$EP$61,100,FALSE)</f>
        <v>4</v>
      </c>
      <c r="AB198" s="16">
        <f>VLOOKUP($A$196,'集計'!$A$4:$EP$61,104,FALSE)</f>
        <v>144.6</v>
      </c>
      <c r="AC198" s="15">
        <f>VLOOKUP($A$196,'集計'!$A$4:$EP$61,108,FALSE)</f>
        <v>1</v>
      </c>
      <c r="AD198" s="16">
        <f>VLOOKUP($A$196,'集計'!$A$4:$EP$61,112,FALSE)</f>
        <v>16</v>
      </c>
      <c r="AE198" s="15">
        <f>VLOOKUP($A$196,'集計'!$A$4:$EP$61,116,FALSE)</f>
        <v>1</v>
      </c>
      <c r="AF198" s="16">
        <f>VLOOKUP($A$196,'集計'!$A$4:$EP$61,120,FALSE)</f>
        <v>2</v>
      </c>
      <c r="AG198" s="15">
        <f>VLOOKUP($A$196,'集計'!$A$4:$EP$61,124,FALSE)</f>
        <v>0</v>
      </c>
      <c r="AH198" s="16">
        <f>VLOOKUP($A$196,'集計'!$A$4:$EP$61,128,FALSE)</f>
        <v>0</v>
      </c>
      <c r="AI198" s="15">
        <f>VLOOKUP($A$196,'集計'!$A$4:$EP$61,132,FALSE)</f>
        <v>0</v>
      </c>
      <c r="AJ198" s="16">
        <f>VLOOKUP($A$196,'集計'!$A$4:$EP$61,136,FALSE)</f>
        <v>0</v>
      </c>
      <c r="AK198" s="15">
        <f>VLOOKUP($A$196,'集計'!$A$4:$EP$61,140,FALSE)</f>
        <v>158</v>
      </c>
      <c r="AL198" s="16">
        <f>VLOOKUP($A$196,'集計'!$A$4:$EP$61,144,FALSE)</f>
        <v>248.09</v>
      </c>
    </row>
    <row r="199" spans="1:38" ht="13.5">
      <c r="A199" s="32" t="s">
        <v>24</v>
      </c>
      <c r="B199" s="15">
        <f>VLOOKUP($A$196,'集計'!$A$4:$EP$61,5,FALSE)</f>
        <v>11</v>
      </c>
      <c r="C199" s="16">
        <f>VLOOKUP($A$196,'集計'!$A$4:$EP$61,9,FALSE)</f>
        <v>2.97</v>
      </c>
      <c r="D199" s="15">
        <f>VLOOKUP($A$196,'集計'!$A$4:$EP$61,13,FALSE)</f>
        <v>3</v>
      </c>
      <c r="E199" s="16">
        <f>VLOOKUP($A$196,'集計'!$A$4:$EP$61,17,FALSE)</f>
        <v>24.9</v>
      </c>
      <c r="F199" s="15">
        <f>VLOOKUP($A$196,'集計'!$A$4:$EP$61,21,FALSE)</f>
        <v>10</v>
      </c>
      <c r="G199" s="16">
        <f>VLOOKUP($A$196,'集計'!$A$4:$EP$61,25,FALSE)</f>
        <v>81.8</v>
      </c>
      <c r="H199" s="15">
        <f>VLOOKUP($A$196,'集計'!$A$4:$EP$61,29,FALSE)</f>
        <v>10</v>
      </c>
      <c r="I199" s="16">
        <f>VLOOKUP($A$196,'集計'!$A$4:$EP$61,33,FALSE)</f>
        <v>266.1</v>
      </c>
      <c r="J199" s="15">
        <f>VLOOKUP($A$196,'集計'!$A$4:$EP$61,37,FALSE)</f>
        <v>7</v>
      </c>
      <c r="K199" s="16">
        <f>VLOOKUP($A$196,'集計'!$A$4:$EP$61,41,FALSE)</f>
        <v>171.9</v>
      </c>
      <c r="L199" s="15">
        <f>VLOOKUP($A$196,'集計'!$A$4:$EP$61,45,FALSE)</f>
        <v>2</v>
      </c>
      <c r="M199" s="16">
        <f>VLOOKUP($A$196,'集計'!$A$4:$EP$61,49,FALSE)</f>
        <v>1.7</v>
      </c>
      <c r="N199" s="15">
        <f>VLOOKUP($A$196,'集計'!$A$4:$EP$61,53,FALSE)</f>
        <v>3</v>
      </c>
      <c r="O199" s="16">
        <f>VLOOKUP($A$196,'集計'!$A$4:$EP$61,57,FALSE)</f>
        <v>16.5</v>
      </c>
      <c r="P199" s="15">
        <f>VLOOKUP($A$196,'集計'!$A$4:$EP$61,61,FALSE)</f>
        <v>4</v>
      </c>
      <c r="Q199" s="16">
        <f>VLOOKUP($A$196,'集計'!$A$4:$EP$61,65,FALSE)</f>
        <v>439.5</v>
      </c>
      <c r="R199" s="15">
        <f>VLOOKUP($A$196,'集計'!$A$4:$EP$61,69,FALSE)</f>
        <v>50</v>
      </c>
      <c r="S199" s="16">
        <f>VLOOKUP($A$196,'集計'!$A$4:$EP$61,73,FALSE)</f>
        <v>1005.37</v>
      </c>
      <c r="T199" s="32" t="s">
        <v>24</v>
      </c>
      <c r="U199" s="15">
        <f>VLOOKUP($A$196,'集計'!$A$4:$EP$61,77,FALSE)</f>
        <v>8</v>
      </c>
      <c r="V199" s="16">
        <f>VLOOKUP($A$196,'集計'!$A$4:$EP$61,81,FALSE)</f>
        <v>1.9</v>
      </c>
      <c r="W199" s="15">
        <f>VLOOKUP($A$196,'集計'!$A$4:$EP$61,85,FALSE)</f>
        <v>1</v>
      </c>
      <c r="X199" s="16">
        <f>VLOOKUP($A$196,'集計'!$A$4:$EP$61,89,FALSE)</f>
        <v>14.6</v>
      </c>
      <c r="Y199" s="15">
        <f>VLOOKUP($A$196,'集計'!$A$4:$EP$61,93,FALSE)</f>
        <v>9</v>
      </c>
      <c r="Z199" s="16">
        <f>VLOOKUP($A$196,'集計'!$A$4:$EP$61,97,FALSE)</f>
        <v>72.8</v>
      </c>
      <c r="AA199" s="15">
        <f>VLOOKUP($A$196,'集計'!$A$4:$EP$61,101,FALSE)</f>
        <v>10</v>
      </c>
      <c r="AB199" s="16">
        <f>VLOOKUP($A$196,'集計'!$A$4:$EP$61,105,FALSE)</f>
        <v>192.2</v>
      </c>
      <c r="AC199" s="15">
        <f>VLOOKUP($A$196,'集計'!$A$4:$EP$61,109,FALSE)</f>
        <v>7</v>
      </c>
      <c r="AD199" s="16">
        <f>VLOOKUP($A$196,'集計'!$A$4:$EP$61,113,FALSE)</f>
        <v>108.9</v>
      </c>
      <c r="AE199" s="15">
        <f>VLOOKUP($A$196,'集計'!$A$4:$EP$61,117,FALSE)</f>
        <v>0</v>
      </c>
      <c r="AF199" s="16">
        <f>VLOOKUP($A$196,'集計'!$A$4:$EP$61,121,FALSE)</f>
        <v>0</v>
      </c>
      <c r="AG199" s="15">
        <f>VLOOKUP($A$196,'集計'!$A$4:$EP$61,125,FALSE)</f>
        <v>3</v>
      </c>
      <c r="AH199" s="16">
        <f>VLOOKUP($A$196,'集計'!$A$4:$EP$61,129,FALSE)</f>
        <v>14.3</v>
      </c>
      <c r="AI199" s="15">
        <f>VLOOKUP($A$196,'集計'!$A$4:$EP$61,133,FALSE)</f>
        <v>4</v>
      </c>
      <c r="AJ199" s="16">
        <f>VLOOKUP($A$196,'集計'!$A$4:$EP$61,137,FALSE)</f>
        <v>376.8</v>
      </c>
      <c r="AK199" s="15">
        <f>VLOOKUP($A$196,'集計'!$A$4:$EP$61,141,FALSE)</f>
        <v>42</v>
      </c>
      <c r="AL199" s="16">
        <f>VLOOKUP($A$196,'集計'!$A$4:$EP$61,145,FALSE)</f>
        <v>781.5</v>
      </c>
    </row>
    <row r="200" spans="1:38" ht="13.5">
      <c r="A200" s="32"/>
      <c r="B200" s="19"/>
      <c r="C200" s="20"/>
      <c r="D200" s="19"/>
      <c r="E200" s="20"/>
      <c r="F200" s="19"/>
      <c r="G200" s="20"/>
      <c r="H200" s="19"/>
      <c r="I200" s="20"/>
      <c r="J200" s="19"/>
      <c r="K200" s="20"/>
      <c r="L200" s="19"/>
      <c r="M200" s="20"/>
      <c r="N200" s="19"/>
      <c r="O200" s="20"/>
      <c r="P200" s="19"/>
      <c r="Q200" s="20"/>
      <c r="R200" s="19"/>
      <c r="S200" s="20"/>
      <c r="T200" s="32"/>
      <c r="U200" s="19"/>
      <c r="V200" s="20"/>
      <c r="W200" s="19"/>
      <c r="X200" s="20"/>
      <c r="Y200" s="19"/>
      <c r="Z200" s="20"/>
      <c r="AA200" s="19"/>
      <c r="AB200" s="20"/>
      <c r="AC200" s="19"/>
      <c r="AD200" s="20"/>
      <c r="AE200" s="19"/>
      <c r="AF200" s="20"/>
      <c r="AG200" s="19"/>
      <c r="AH200" s="20"/>
      <c r="AI200" s="19"/>
      <c r="AJ200" s="20"/>
      <c r="AK200" s="19"/>
      <c r="AL200" s="20"/>
    </row>
    <row r="201" spans="1:38" ht="13.5">
      <c r="A201" s="32" t="s">
        <v>60</v>
      </c>
      <c r="B201" s="15">
        <f>VLOOKUP($A$201,'集計'!$A$4:$EP$61,6,FALSE)</f>
        <v>73</v>
      </c>
      <c r="C201" s="16">
        <f>VLOOKUP($A$201,'集計'!$A$4:$EP$61,10,FALSE)</f>
        <v>13.59</v>
      </c>
      <c r="D201" s="15">
        <f>VLOOKUP($A$201,'集計'!$A$4:$EP$61,14,FALSE)</f>
        <v>12</v>
      </c>
      <c r="E201" s="16">
        <f>VLOOKUP($A$201,'集計'!$A$4:$EP$61,18,FALSE)</f>
        <v>20.9</v>
      </c>
      <c r="F201" s="15">
        <f>VLOOKUP($A$201,'集計'!$A$4:$EP$61,22,FALSE)</f>
        <v>5</v>
      </c>
      <c r="G201" s="16">
        <f>VLOOKUP($A$201,'集計'!$A$4:$EP$61,26,FALSE)</f>
        <v>22.4</v>
      </c>
      <c r="H201" s="15">
        <f>VLOOKUP($A$201,'集計'!$A$4:$EP$61,30,FALSE)</f>
        <v>8</v>
      </c>
      <c r="I201" s="16">
        <f>VLOOKUP($A$201,'集計'!$A$4:$EP$61,34,FALSE)</f>
        <v>186.7</v>
      </c>
      <c r="J201" s="15">
        <f>VLOOKUP($A$201,'集計'!$A$4:$EP$61,38,FALSE)</f>
        <v>4</v>
      </c>
      <c r="K201" s="16">
        <f>VLOOKUP($A$201,'集計'!$A$4:$EP$61,42,FALSE)</f>
        <v>56.4</v>
      </c>
      <c r="L201" s="15">
        <f>VLOOKUP($A$201,'集計'!$A$4:$EP$61,46,FALSE)</f>
        <v>3</v>
      </c>
      <c r="M201" s="16">
        <f>VLOOKUP($A$201,'集計'!$A$4:$EP$61,50,FALSE)</f>
        <v>83.4</v>
      </c>
      <c r="N201" s="15">
        <f>VLOOKUP($A$201,'集計'!$A$4:$EP$61,54,FALSE)</f>
        <v>3</v>
      </c>
      <c r="O201" s="16">
        <f>VLOOKUP($A$201,'集計'!$A$4:$EP$61,58,FALSE)</f>
        <v>105.92</v>
      </c>
      <c r="P201" s="15">
        <f>VLOOKUP($A$201,'集計'!$A$4:$EP$61,62,FALSE)</f>
        <v>2</v>
      </c>
      <c r="Q201" s="16">
        <f>VLOOKUP($A$201,'集計'!$A$4:$EP$61,66,FALSE)</f>
        <v>152.2</v>
      </c>
      <c r="R201" s="15">
        <f>VLOOKUP($A$201,'集計'!$A$4:$EP$61,70,FALSE)</f>
        <v>110</v>
      </c>
      <c r="S201" s="16">
        <f>VLOOKUP($A$201,'集計'!$A$4:$EP$61,74,FALSE)</f>
        <v>641.51</v>
      </c>
      <c r="T201" s="32" t="s">
        <v>60</v>
      </c>
      <c r="U201" s="15">
        <f>VLOOKUP($A$201,'集計'!$A$4:$EP$61,78,FALSE)</f>
        <v>71</v>
      </c>
      <c r="V201" s="16">
        <f>VLOOKUP($A$201,'集計'!$A$4:$EP$61,82,FALSE)</f>
        <v>13.08</v>
      </c>
      <c r="W201" s="15">
        <f>VLOOKUP($A$201,'集計'!$A$4:$EP$61,86,FALSE)</f>
        <v>12</v>
      </c>
      <c r="X201" s="16">
        <f>VLOOKUP($A$201,'集計'!$A$4:$EP$61,90,FALSE)</f>
        <v>20.8</v>
      </c>
      <c r="Y201" s="15">
        <f>VLOOKUP($A$201,'集計'!$A$4:$EP$61,94,FALSE)</f>
        <v>5</v>
      </c>
      <c r="Z201" s="16">
        <f>VLOOKUP($A$201,'集計'!$A$4:$EP$61,98,FALSE)</f>
        <v>19.5</v>
      </c>
      <c r="AA201" s="15">
        <f>VLOOKUP($A$201,'集計'!$A$4:$EP$61,102,FALSE)</f>
        <v>8</v>
      </c>
      <c r="AB201" s="16">
        <f>VLOOKUP($A$201,'集計'!$A$4:$EP$61,106,FALSE)</f>
        <v>109.4</v>
      </c>
      <c r="AC201" s="15">
        <f>VLOOKUP($A$201,'集計'!$A$4:$EP$61,110,FALSE)</f>
        <v>3</v>
      </c>
      <c r="AD201" s="16">
        <f>VLOOKUP($A$201,'集計'!$A$4:$EP$61,114,FALSE)</f>
        <v>42.2</v>
      </c>
      <c r="AE201" s="15">
        <f>VLOOKUP($A$201,'集計'!$A$4:$EP$61,118,FALSE)</f>
        <v>3</v>
      </c>
      <c r="AF201" s="16">
        <f>VLOOKUP($A$201,'集計'!$A$4:$EP$61,122,FALSE)</f>
        <v>32.3</v>
      </c>
      <c r="AG201" s="15">
        <f>VLOOKUP($A$201,'集計'!$A$4:$EP$61,126,FALSE)</f>
        <v>2</v>
      </c>
      <c r="AH201" s="16">
        <f>VLOOKUP($A$201,'集計'!$A$4:$EP$61,130,FALSE)</f>
        <v>78.2</v>
      </c>
      <c r="AI201" s="15">
        <f>VLOOKUP($A$201,'集計'!$A$4:$EP$61,134,FALSE)</f>
        <v>2</v>
      </c>
      <c r="AJ201" s="16">
        <f>VLOOKUP($A$201,'集計'!$A$4:$EP$61,138,FALSE)</f>
        <v>65.8</v>
      </c>
      <c r="AK201" s="15">
        <f>VLOOKUP($A$201,'集計'!$A$4:$EP$61,142,FALSE)</f>
        <v>106</v>
      </c>
      <c r="AL201" s="16">
        <f>VLOOKUP($A$201,'集計'!$A$4:$EP$61,146,FALSE)</f>
        <v>381.28</v>
      </c>
    </row>
    <row r="202" spans="1:38" ht="13.5">
      <c r="A202" s="32" t="s">
        <v>22</v>
      </c>
      <c r="B202" s="15">
        <f>VLOOKUP($A$201,'集計'!$A$4:$EP$61,3,FALSE)</f>
        <v>40</v>
      </c>
      <c r="C202" s="16">
        <f>VLOOKUP($A$201,'集計'!$A$4:$EP$61,7,FALSE)</f>
        <v>7.77</v>
      </c>
      <c r="D202" s="15">
        <f>VLOOKUP($A$201,'集計'!$A$4:$EP$61,11,FALSE)</f>
        <v>4</v>
      </c>
      <c r="E202" s="16">
        <f>VLOOKUP($A$201,'集計'!$A$4:$EP$61,15,FALSE)</f>
        <v>5</v>
      </c>
      <c r="F202" s="15">
        <f>VLOOKUP($A$201,'集計'!$A$4:$EP$61,19,FALSE)</f>
        <v>2</v>
      </c>
      <c r="G202" s="16">
        <f>VLOOKUP($A$201,'集計'!$A$4:$EP$61,23,FALSE)</f>
        <v>10.6</v>
      </c>
      <c r="H202" s="15">
        <f>VLOOKUP($A$201,'集計'!$A$4:$EP$61,27,FALSE)</f>
        <v>1</v>
      </c>
      <c r="I202" s="16">
        <f>VLOOKUP($A$201,'集計'!$A$4:$EP$61,31,FALSE)</f>
        <v>23.5</v>
      </c>
      <c r="J202" s="15">
        <f>VLOOKUP($A$201,'集計'!$A$4:$EP$61,35,FALSE)</f>
        <v>3</v>
      </c>
      <c r="K202" s="16">
        <f>VLOOKUP($A$201,'集計'!$A$4:$EP$61,39,FALSE)</f>
        <v>48.9</v>
      </c>
      <c r="L202" s="15">
        <f>VLOOKUP($A$201,'集計'!$A$4:$EP$61,43,FALSE)</f>
        <v>0</v>
      </c>
      <c r="M202" s="16">
        <f>VLOOKUP($A$201,'集計'!$A$4:$EP$61,47,FALSE)</f>
        <v>0</v>
      </c>
      <c r="N202" s="15">
        <f>VLOOKUP($A$201,'集計'!$A$4:$EP$61,51,FALSE)</f>
        <v>1</v>
      </c>
      <c r="O202" s="16">
        <f>VLOOKUP($A$201,'集計'!$A$4:$EP$61,55,FALSE)</f>
        <v>1.82</v>
      </c>
      <c r="P202" s="15">
        <f>VLOOKUP($A$201,'集計'!$A$4:$EP$61,59,FALSE)</f>
        <v>0</v>
      </c>
      <c r="Q202" s="16">
        <f>VLOOKUP($A$201,'集計'!$A$4:$EP$61,63,FALSE)</f>
        <v>0</v>
      </c>
      <c r="R202" s="15">
        <f>VLOOKUP($A$201,'集計'!$A$4:$EP$61,67,FALSE)</f>
        <v>51</v>
      </c>
      <c r="S202" s="16">
        <f>VLOOKUP($A$201,'集計'!$A$4:$EP$61,71,FALSE)</f>
        <v>97.59</v>
      </c>
      <c r="T202" s="32" t="s">
        <v>22</v>
      </c>
      <c r="U202" s="15">
        <f>VLOOKUP($A$201,'集計'!$A$4:$EP$61,75,FALSE)</f>
        <v>39</v>
      </c>
      <c r="V202" s="16">
        <f>VLOOKUP($A$201,'集計'!$A$4:$EP$61,79,FALSE)</f>
        <v>7.73</v>
      </c>
      <c r="W202" s="15">
        <f>VLOOKUP($A$201,'集計'!$A$4:$EP$61,83,FALSE)</f>
        <v>4</v>
      </c>
      <c r="X202" s="16">
        <f>VLOOKUP($A$201,'集計'!$A$4:$EP$61,87,FALSE)</f>
        <v>5</v>
      </c>
      <c r="Y202" s="15">
        <f>VLOOKUP($A$201,'集計'!$A$4:$EP$61,91,FALSE)</f>
        <v>2</v>
      </c>
      <c r="Z202" s="16">
        <f>VLOOKUP($A$201,'集計'!$A$4:$EP$61,95,FALSE)</f>
        <v>10</v>
      </c>
      <c r="AA202" s="15">
        <f>VLOOKUP($A$201,'集計'!$A$4:$EP$61,99,FALSE)</f>
        <v>1</v>
      </c>
      <c r="AB202" s="16">
        <f>VLOOKUP($A$201,'集計'!$A$4:$EP$61,103,FALSE)</f>
        <v>20</v>
      </c>
      <c r="AC202" s="15">
        <f>VLOOKUP($A$201,'集計'!$A$4:$EP$61,107,FALSE)</f>
        <v>2</v>
      </c>
      <c r="AD202" s="16">
        <f>VLOOKUP($A$201,'集計'!$A$4:$EP$61,111,FALSE)</f>
        <v>34.7</v>
      </c>
      <c r="AE202" s="15">
        <f>VLOOKUP($A$201,'集計'!$A$4:$EP$61,115,FALSE)</f>
        <v>0</v>
      </c>
      <c r="AF202" s="16">
        <f>VLOOKUP($A$201,'集計'!$A$4:$EP$61,119,FALSE)</f>
        <v>0</v>
      </c>
      <c r="AG202" s="15">
        <f>VLOOKUP($A$201,'集計'!$A$4:$EP$61,123,FALSE)</f>
        <v>0</v>
      </c>
      <c r="AH202" s="16">
        <f>VLOOKUP($A$201,'集計'!$A$4:$EP$61,127,FALSE)</f>
        <v>0</v>
      </c>
      <c r="AI202" s="15">
        <f>VLOOKUP($A$201,'集計'!$A$4:$EP$61,131,FALSE)</f>
        <v>0</v>
      </c>
      <c r="AJ202" s="16">
        <f>VLOOKUP($A$201,'集計'!$A$4:$EP$61,135,FALSE)</f>
        <v>0</v>
      </c>
      <c r="AK202" s="15">
        <f>VLOOKUP($A$201,'集計'!$A$4:$EP$61,139,FALSE)</f>
        <v>48</v>
      </c>
      <c r="AL202" s="16">
        <f>VLOOKUP($A$201,'集計'!$A$4:$EP$61,143,FALSE)</f>
        <v>77.43</v>
      </c>
    </row>
    <row r="203" spans="1:38" ht="13.5">
      <c r="A203" s="32" t="s">
        <v>23</v>
      </c>
      <c r="B203" s="15">
        <f>VLOOKUP($A$201,'集計'!$A$4:$EP$61,4,FALSE)</f>
        <v>24</v>
      </c>
      <c r="C203" s="16">
        <f>VLOOKUP($A$201,'集計'!$A$4:$EP$61,8,FALSE)</f>
        <v>4.09</v>
      </c>
      <c r="D203" s="15">
        <f>VLOOKUP($A$201,'集計'!$A$4:$EP$61,(12),FALSE)</f>
        <v>2</v>
      </c>
      <c r="E203" s="16">
        <f>VLOOKUP($A$201,'集計'!$A$4:$EP$61,16,FALSE)</f>
        <v>4.4</v>
      </c>
      <c r="F203" s="15">
        <f>VLOOKUP($A$201,'集計'!$A$4:$EP$61,20,FALSE)</f>
        <v>0</v>
      </c>
      <c r="G203" s="16">
        <f>VLOOKUP($A$201,'集計'!$A$4:$EP$61,24,FALSE)</f>
        <v>0</v>
      </c>
      <c r="H203" s="15">
        <f>VLOOKUP($A$201,'集計'!$A$4:$EP$61,28,FALSE)</f>
        <v>2</v>
      </c>
      <c r="I203" s="16">
        <f>VLOOKUP($A$201,'集計'!$A$4:$EP$61,32,FALSE)</f>
        <v>29.3</v>
      </c>
      <c r="J203" s="15">
        <f>VLOOKUP($A$201,'集計'!$A$4:$EP$61,36,FALSE)</f>
        <v>0</v>
      </c>
      <c r="K203" s="16">
        <f>VLOOKUP($A$201,'集計'!$A$4:$EP$61,40,FALSE)</f>
        <v>0</v>
      </c>
      <c r="L203" s="15">
        <f>VLOOKUP($A$201,'集計'!$A$4:$EP$61,44,FALSE)</f>
        <v>1</v>
      </c>
      <c r="M203" s="16">
        <f>VLOOKUP($A$201,'集計'!$A$4:$EP$61,48,FALSE)</f>
        <v>5.2</v>
      </c>
      <c r="N203" s="15">
        <f>VLOOKUP($A$201,'集計'!$A$4:$EP$61,52,FALSE)</f>
        <v>0</v>
      </c>
      <c r="O203" s="16">
        <f>VLOOKUP($A$201,'集計'!$A$4:$EP$61,56,FALSE)</f>
        <v>0</v>
      </c>
      <c r="P203" s="15">
        <f>VLOOKUP($A$201,'集計'!$A$4:$EP$61,60,FALSE)</f>
        <v>0</v>
      </c>
      <c r="Q203" s="16">
        <f>VLOOKUP($A$201,'集計'!$A$4:$EP$61,64,FALSE)</f>
        <v>0</v>
      </c>
      <c r="R203" s="15">
        <f>VLOOKUP($A$201,'集計'!$A$4:$EP$61,68,FALSE)</f>
        <v>29</v>
      </c>
      <c r="S203" s="16">
        <f>VLOOKUP($A$201,'集計'!$A$4:$EP$61,72,FALSE)</f>
        <v>42.99</v>
      </c>
      <c r="T203" s="32" t="s">
        <v>23</v>
      </c>
      <c r="U203" s="15">
        <f>VLOOKUP($A$201,'集計'!$A$4:$EP$61,76,FALSE)</f>
        <v>23</v>
      </c>
      <c r="V203" s="16">
        <f>VLOOKUP($A$201,'集計'!$A$4:$EP$61,80,FALSE)</f>
        <v>3.8</v>
      </c>
      <c r="W203" s="15">
        <f>VLOOKUP($A$201,'集計'!$A$4:$EP$61,84,FALSE)</f>
        <v>2</v>
      </c>
      <c r="X203" s="16">
        <f>VLOOKUP($A$201,'集計'!$A$4:$EP$61,88,FALSE)</f>
        <v>4.4</v>
      </c>
      <c r="Y203" s="15">
        <f>VLOOKUP($A$201,'集計'!$A$4:$EP$61,92,FALSE)</f>
        <v>0</v>
      </c>
      <c r="Z203" s="16">
        <f>VLOOKUP($A$201,'集計'!$A$4:$EP$61,96,FALSE)</f>
        <v>0</v>
      </c>
      <c r="AA203" s="15">
        <f>VLOOKUP($A$201,'集計'!$A$4:$EP$61,100,FALSE)</f>
        <v>2</v>
      </c>
      <c r="AB203" s="16">
        <f>VLOOKUP($A$201,'集計'!$A$4:$EP$61,104,FALSE)</f>
        <v>27.8</v>
      </c>
      <c r="AC203" s="15">
        <f>VLOOKUP($A$201,'集計'!$A$4:$EP$61,108,FALSE)</f>
        <v>0</v>
      </c>
      <c r="AD203" s="16">
        <f>VLOOKUP($A$201,'集計'!$A$4:$EP$61,112,FALSE)</f>
        <v>0</v>
      </c>
      <c r="AE203" s="15">
        <f>VLOOKUP($A$201,'集計'!$A$4:$EP$61,116,FALSE)</f>
        <v>1</v>
      </c>
      <c r="AF203" s="16">
        <f>VLOOKUP($A$201,'集計'!$A$4:$EP$61,120,FALSE)</f>
        <v>3.4</v>
      </c>
      <c r="AG203" s="15">
        <f>VLOOKUP($A$201,'集計'!$A$4:$EP$61,124,FALSE)</f>
        <v>0</v>
      </c>
      <c r="AH203" s="16">
        <f>VLOOKUP($A$201,'集計'!$A$4:$EP$61,128,FALSE)</f>
        <v>0</v>
      </c>
      <c r="AI203" s="15">
        <f>VLOOKUP($A$201,'集計'!$A$4:$EP$61,132,FALSE)</f>
        <v>0</v>
      </c>
      <c r="AJ203" s="16">
        <f>VLOOKUP($A$201,'集計'!$A$4:$EP$61,136,FALSE)</f>
        <v>0</v>
      </c>
      <c r="AK203" s="15">
        <f>VLOOKUP($A$201,'集計'!$A$4:$EP$61,140,FALSE)</f>
        <v>28</v>
      </c>
      <c r="AL203" s="16">
        <f>VLOOKUP($A$201,'集計'!$A$4:$EP$61,144,FALSE)</f>
        <v>39.4</v>
      </c>
    </row>
    <row r="204" spans="1:38" ht="13.5">
      <c r="A204" s="32" t="s">
        <v>24</v>
      </c>
      <c r="B204" s="15">
        <f>VLOOKUP($A$201,'集計'!$A$4:$EP$61,5,FALSE)</f>
        <v>9</v>
      </c>
      <c r="C204" s="16">
        <f>VLOOKUP($A$201,'集計'!$A$4:$EP$61,9,FALSE)</f>
        <v>1.73</v>
      </c>
      <c r="D204" s="15">
        <f>VLOOKUP($A$201,'集計'!$A$4:$EP$61,13,FALSE)</f>
        <v>6</v>
      </c>
      <c r="E204" s="16">
        <f>VLOOKUP($A$201,'集計'!$A$4:$EP$61,17,FALSE)</f>
        <v>11.5</v>
      </c>
      <c r="F204" s="15">
        <f>VLOOKUP($A$201,'集計'!$A$4:$EP$61,21,FALSE)</f>
        <v>3</v>
      </c>
      <c r="G204" s="16">
        <f>VLOOKUP($A$201,'集計'!$A$4:$EP$61,25,FALSE)</f>
        <v>11.8</v>
      </c>
      <c r="H204" s="15">
        <f>VLOOKUP($A$201,'集計'!$A$4:$EP$61,29,FALSE)</f>
        <v>5</v>
      </c>
      <c r="I204" s="16">
        <f>VLOOKUP($A$201,'集計'!$A$4:$EP$61,33,FALSE)</f>
        <v>133.9</v>
      </c>
      <c r="J204" s="15">
        <f>VLOOKUP($A$201,'集計'!$A$4:$EP$61,37,FALSE)</f>
        <v>1</v>
      </c>
      <c r="K204" s="16">
        <f>VLOOKUP($A$201,'集計'!$A$4:$EP$61,41,FALSE)</f>
        <v>7.5</v>
      </c>
      <c r="L204" s="15">
        <f>VLOOKUP($A$201,'集計'!$A$4:$EP$61,45,FALSE)</f>
        <v>2</v>
      </c>
      <c r="M204" s="16">
        <f>VLOOKUP($A$201,'集計'!$A$4:$EP$61,49,FALSE)</f>
        <v>78.2</v>
      </c>
      <c r="N204" s="15">
        <f>VLOOKUP($A$201,'集計'!$A$4:$EP$61,53,FALSE)</f>
        <v>2</v>
      </c>
      <c r="O204" s="16">
        <f>VLOOKUP($A$201,'集計'!$A$4:$EP$61,57,FALSE)</f>
        <v>104.1</v>
      </c>
      <c r="P204" s="15">
        <f>VLOOKUP($A$201,'集計'!$A$4:$EP$61,61,FALSE)</f>
        <v>2</v>
      </c>
      <c r="Q204" s="16">
        <f>VLOOKUP($A$201,'集計'!$A$4:$EP$61,65,FALSE)</f>
        <v>152.2</v>
      </c>
      <c r="R204" s="15">
        <f>VLOOKUP($A$201,'集計'!$A$4:$EP$61,69,FALSE)</f>
        <v>30</v>
      </c>
      <c r="S204" s="16">
        <f>VLOOKUP($A$201,'集計'!$A$4:$EP$61,73,FALSE)</f>
        <v>500.93</v>
      </c>
      <c r="T204" s="32" t="s">
        <v>24</v>
      </c>
      <c r="U204" s="15">
        <f>VLOOKUP($A$201,'集計'!$A$4:$EP$61,77,FALSE)</f>
        <v>9</v>
      </c>
      <c r="V204" s="16">
        <f>VLOOKUP($A$201,'集計'!$A$4:$EP$61,81,FALSE)</f>
        <v>1.55</v>
      </c>
      <c r="W204" s="15">
        <f>VLOOKUP($A$201,'集計'!$A$4:$EP$61,85,FALSE)</f>
        <v>6</v>
      </c>
      <c r="X204" s="16">
        <f>VLOOKUP($A$201,'集計'!$A$4:$EP$61,89,FALSE)</f>
        <v>11.4</v>
      </c>
      <c r="Y204" s="15">
        <f>VLOOKUP($A$201,'集計'!$A$4:$EP$61,93,FALSE)</f>
        <v>3</v>
      </c>
      <c r="Z204" s="16">
        <f>VLOOKUP($A$201,'集計'!$A$4:$EP$61,97,FALSE)</f>
        <v>9.5</v>
      </c>
      <c r="AA204" s="15">
        <f>VLOOKUP($A$201,'集計'!$A$4:$EP$61,101,FALSE)</f>
        <v>5</v>
      </c>
      <c r="AB204" s="16">
        <f>VLOOKUP($A$201,'集計'!$A$4:$EP$61,105,FALSE)</f>
        <v>61.6</v>
      </c>
      <c r="AC204" s="15">
        <f>VLOOKUP($A$201,'集計'!$A$4:$EP$61,109,FALSE)</f>
        <v>1</v>
      </c>
      <c r="AD204" s="16">
        <f>VLOOKUP($A$201,'集計'!$A$4:$EP$61,113,FALSE)</f>
        <v>7.5</v>
      </c>
      <c r="AE204" s="15">
        <f>VLOOKUP($A$201,'集計'!$A$4:$EP$61,117,FALSE)</f>
        <v>2</v>
      </c>
      <c r="AF204" s="16">
        <f>VLOOKUP($A$201,'集計'!$A$4:$EP$61,121,FALSE)</f>
        <v>28.9</v>
      </c>
      <c r="AG204" s="15">
        <f>VLOOKUP($A$201,'集計'!$A$4:$EP$61,125,FALSE)</f>
        <v>2</v>
      </c>
      <c r="AH204" s="16">
        <f>VLOOKUP($A$201,'集計'!$A$4:$EP$61,129,FALSE)</f>
        <v>78.2</v>
      </c>
      <c r="AI204" s="15">
        <f>VLOOKUP($A$201,'集計'!$A$4:$EP$61,133,FALSE)</f>
        <v>2</v>
      </c>
      <c r="AJ204" s="16">
        <f>VLOOKUP($A$201,'集計'!$A$4:$EP$61,137,FALSE)</f>
        <v>65.8</v>
      </c>
      <c r="AK204" s="15">
        <f>VLOOKUP($A$201,'集計'!$A$4:$EP$61,141,FALSE)</f>
        <v>30</v>
      </c>
      <c r="AL204" s="16">
        <f>VLOOKUP($A$201,'集計'!$A$4:$EP$61,145,FALSE)</f>
        <v>264.45</v>
      </c>
    </row>
    <row r="205" spans="1:38" ht="13.5">
      <c r="A205" s="32" t="s">
        <v>61</v>
      </c>
      <c r="B205" s="15">
        <f>VLOOKUP($A$205,'集計'!$A$4:$EP$61,6,FALSE)</f>
        <v>126</v>
      </c>
      <c r="C205" s="16">
        <f>VLOOKUP($A$205,'集計'!$A$4:$EP$61,10,FALSE)</f>
        <v>31.11</v>
      </c>
      <c r="D205" s="15">
        <f>VLOOKUP($A$205,'集計'!$A$4:$EP$61,14,FALSE)</f>
        <v>21</v>
      </c>
      <c r="E205" s="16">
        <f>VLOOKUP($A$205,'集計'!$A$4:$EP$61,18,FALSE)</f>
        <v>38.7</v>
      </c>
      <c r="F205" s="15">
        <f>VLOOKUP($A$205,'集計'!$A$4:$EP$61,22,FALSE)</f>
        <v>12</v>
      </c>
      <c r="G205" s="16">
        <f>VLOOKUP($A$205,'集計'!$A$4:$EP$61,26,FALSE)</f>
        <v>68.1</v>
      </c>
      <c r="H205" s="15">
        <f>VLOOKUP($A$205,'集計'!$A$4:$EP$61,30,FALSE)</f>
        <v>6</v>
      </c>
      <c r="I205" s="16">
        <f>VLOOKUP($A$205,'集計'!$A$4:$EP$61,34,FALSE)</f>
        <v>76.9</v>
      </c>
      <c r="J205" s="15">
        <f>VLOOKUP($A$205,'集計'!$A$4:$EP$61,38,FALSE)</f>
        <v>6</v>
      </c>
      <c r="K205" s="16">
        <f>VLOOKUP($A$205,'集計'!$A$4:$EP$61,42,FALSE)</f>
        <v>152.7</v>
      </c>
      <c r="L205" s="15">
        <f>VLOOKUP($A$205,'集計'!$A$4:$EP$61,46,FALSE)</f>
        <v>5</v>
      </c>
      <c r="M205" s="16">
        <f>VLOOKUP($A$205,'集計'!$A$4:$EP$61,50,FALSE)</f>
        <v>112.4</v>
      </c>
      <c r="N205" s="15">
        <f>VLOOKUP($A$205,'集計'!$A$4:$EP$61,54,FALSE)</f>
        <v>3</v>
      </c>
      <c r="O205" s="16">
        <f>VLOOKUP($A$205,'集計'!$A$4:$EP$61,58,FALSE)</f>
        <v>104.8</v>
      </c>
      <c r="P205" s="15">
        <f>VLOOKUP($A$205,'集計'!$A$4:$EP$61,62,FALSE)</f>
        <v>2</v>
      </c>
      <c r="Q205" s="16">
        <f>VLOOKUP($A$205,'集計'!$A$4:$EP$61,66,FALSE)</f>
        <v>450.3</v>
      </c>
      <c r="R205" s="15">
        <f>VLOOKUP($A$205,'集計'!$A$4:$EP$61,70,FALSE)</f>
        <v>181</v>
      </c>
      <c r="S205" s="16">
        <f>VLOOKUP($A$205,'集計'!$A$4:$EP$61,74,FALSE)</f>
        <v>1035.01</v>
      </c>
      <c r="T205" s="32" t="s">
        <v>61</v>
      </c>
      <c r="U205" s="15">
        <f>VLOOKUP($A$205,'集計'!$A$4:$EP$61,78,FALSE)</f>
        <v>123</v>
      </c>
      <c r="V205" s="16">
        <f>VLOOKUP($A$205,'集計'!$A$4:$EP$61,82,FALSE)</f>
        <v>29.02</v>
      </c>
      <c r="W205" s="15">
        <f>VLOOKUP($A$205,'集計'!$A$4:$EP$61,86,FALSE)</f>
        <v>19</v>
      </c>
      <c r="X205" s="16">
        <f>VLOOKUP($A$205,'集計'!$A$4:$EP$61,90,FALSE)</f>
        <v>34.3</v>
      </c>
      <c r="Y205" s="15">
        <f>VLOOKUP($A$205,'集計'!$A$4:$EP$61,94,FALSE)</f>
        <v>12</v>
      </c>
      <c r="Z205" s="16">
        <f>VLOOKUP($A$205,'集計'!$A$4:$EP$61,98,FALSE)</f>
        <v>66.2</v>
      </c>
      <c r="AA205" s="15">
        <f>VLOOKUP($A$205,'集計'!$A$4:$EP$61,102,FALSE)</f>
        <v>6</v>
      </c>
      <c r="AB205" s="16">
        <f>VLOOKUP($A$205,'集計'!$A$4:$EP$61,106,FALSE)</f>
        <v>73.9</v>
      </c>
      <c r="AC205" s="15">
        <f>VLOOKUP($A$205,'集計'!$A$4:$EP$61,110,FALSE)</f>
        <v>5</v>
      </c>
      <c r="AD205" s="16">
        <f>VLOOKUP($A$205,'集計'!$A$4:$EP$61,114,FALSE)</f>
        <v>107.6</v>
      </c>
      <c r="AE205" s="15">
        <f>VLOOKUP($A$205,'集計'!$A$4:$EP$61,118,FALSE)</f>
        <v>5</v>
      </c>
      <c r="AF205" s="16">
        <f>VLOOKUP($A$205,'集計'!$A$4:$EP$61,122,FALSE)</f>
        <v>96.6</v>
      </c>
      <c r="AG205" s="15">
        <f>VLOOKUP($A$205,'集計'!$A$4:$EP$61,126,FALSE)</f>
        <v>3</v>
      </c>
      <c r="AH205" s="16">
        <f>VLOOKUP($A$205,'集計'!$A$4:$EP$61,130,FALSE)</f>
        <v>103.8</v>
      </c>
      <c r="AI205" s="15">
        <f>VLOOKUP($A$205,'集計'!$A$4:$EP$61,134,FALSE)</f>
        <v>2</v>
      </c>
      <c r="AJ205" s="16">
        <f>VLOOKUP($A$205,'集計'!$A$4:$EP$61,138,FALSE)</f>
        <v>417.9</v>
      </c>
      <c r="AK205" s="15">
        <f>VLOOKUP($A$205,'集計'!$A$4:$EP$61,142,FALSE)</f>
        <v>175</v>
      </c>
      <c r="AL205" s="16">
        <f>VLOOKUP($A$205,'集計'!$A$4:$EP$61,146,FALSE)</f>
        <v>929.32</v>
      </c>
    </row>
    <row r="206" spans="1:38" ht="13.5">
      <c r="A206" s="32" t="s">
        <v>22</v>
      </c>
      <c r="B206" s="15">
        <f>VLOOKUP($A$205,'集計'!$A$4:$EP$61,3,FALSE)</f>
        <v>94</v>
      </c>
      <c r="C206" s="16">
        <f>VLOOKUP($A$205,'集計'!$A$4:$EP$61,7,FALSE)</f>
        <v>22.06</v>
      </c>
      <c r="D206" s="15">
        <f>VLOOKUP($A$205,'集計'!$A$4:$EP$61,11,FALSE)</f>
        <v>9</v>
      </c>
      <c r="E206" s="16">
        <f>VLOOKUP($A$205,'集計'!$A$4:$EP$61,15,FALSE)</f>
        <v>12.4</v>
      </c>
      <c r="F206" s="15">
        <f>VLOOKUP($A$205,'集計'!$A$4:$EP$61,19,FALSE)</f>
        <v>1</v>
      </c>
      <c r="G206" s="16">
        <f>VLOOKUP($A$205,'集計'!$A$4:$EP$61,23,FALSE)</f>
        <v>3.4</v>
      </c>
      <c r="H206" s="15">
        <f>VLOOKUP($A$205,'集計'!$A$4:$EP$61,27,FALSE)</f>
        <v>0</v>
      </c>
      <c r="I206" s="16">
        <f>VLOOKUP($A$205,'集計'!$A$4:$EP$61,31,FALSE)</f>
        <v>0</v>
      </c>
      <c r="J206" s="15">
        <f>VLOOKUP($A$205,'集計'!$A$4:$EP$61,35,FALSE)</f>
        <v>0</v>
      </c>
      <c r="K206" s="16">
        <f>VLOOKUP($A$205,'集計'!$A$4:$EP$61,39,FALSE)</f>
        <v>0</v>
      </c>
      <c r="L206" s="15">
        <f>VLOOKUP($A$205,'集計'!$A$4:$EP$61,43,FALSE)</f>
        <v>1</v>
      </c>
      <c r="M206" s="16">
        <f>VLOOKUP($A$205,'集計'!$A$4:$EP$61,47,FALSE)</f>
        <v>38.7</v>
      </c>
      <c r="N206" s="15">
        <f>VLOOKUP($A$205,'集計'!$A$4:$EP$61,51,FALSE)</f>
        <v>2</v>
      </c>
      <c r="O206" s="16">
        <f>VLOOKUP($A$205,'集計'!$A$4:$EP$61,55,FALSE)</f>
        <v>29.4</v>
      </c>
      <c r="P206" s="15">
        <f>VLOOKUP($A$205,'集計'!$A$4:$EP$61,59,FALSE)</f>
        <v>0</v>
      </c>
      <c r="Q206" s="16">
        <f>VLOOKUP($A$205,'集計'!$A$4:$EP$61,63,FALSE)</f>
        <v>0</v>
      </c>
      <c r="R206" s="15">
        <f>VLOOKUP($A$205,'集計'!$A$4:$EP$61,67,FALSE)</f>
        <v>107</v>
      </c>
      <c r="S206" s="16">
        <f>VLOOKUP($A$205,'集計'!$A$4:$EP$61,71,FALSE)</f>
        <v>105.96</v>
      </c>
      <c r="T206" s="32" t="s">
        <v>22</v>
      </c>
      <c r="U206" s="15">
        <f>VLOOKUP($A$205,'集計'!$A$4:$EP$61,75,FALSE)</f>
        <v>92</v>
      </c>
      <c r="V206" s="16">
        <f>VLOOKUP($A$205,'集計'!$A$4:$EP$61,79,FALSE)</f>
        <v>20.32</v>
      </c>
      <c r="W206" s="15">
        <f>VLOOKUP($A$205,'集計'!$A$4:$EP$61,83,FALSE)</f>
        <v>8</v>
      </c>
      <c r="X206" s="16">
        <f>VLOOKUP($A$205,'集計'!$A$4:$EP$61,87,FALSE)</f>
        <v>11.1</v>
      </c>
      <c r="Y206" s="15">
        <f>VLOOKUP($A$205,'集計'!$A$4:$EP$61,91,FALSE)</f>
        <v>1</v>
      </c>
      <c r="Z206" s="16">
        <f>VLOOKUP($A$205,'集計'!$A$4:$EP$61,95,FALSE)</f>
        <v>3.4</v>
      </c>
      <c r="AA206" s="15">
        <f>VLOOKUP($A$205,'集計'!$A$4:$EP$61,99,FALSE)</f>
        <v>0</v>
      </c>
      <c r="AB206" s="16">
        <f>VLOOKUP($A$205,'集計'!$A$4:$EP$61,103,FALSE)</f>
        <v>0</v>
      </c>
      <c r="AC206" s="15">
        <f>VLOOKUP($A$205,'集計'!$A$4:$EP$61,107,FALSE)</f>
        <v>0</v>
      </c>
      <c r="AD206" s="16">
        <f>VLOOKUP($A$205,'集計'!$A$4:$EP$61,111,FALSE)</f>
        <v>0</v>
      </c>
      <c r="AE206" s="15">
        <f>VLOOKUP($A$205,'集計'!$A$4:$EP$61,115,FALSE)</f>
        <v>1</v>
      </c>
      <c r="AF206" s="16">
        <f>VLOOKUP($A$205,'集計'!$A$4:$EP$61,119,FALSE)</f>
        <v>38.6</v>
      </c>
      <c r="AG206" s="15">
        <f>VLOOKUP($A$205,'集計'!$A$4:$EP$61,123,FALSE)</f>
        <v>2</v>
      </c>
      <c r="AH206" s="16">
        <f>VLOOKUP($A$205,'集計'!$A$4:$EP$61,127,FALSE)</f>
        <v>28.5</v>
      </c>
      <c r="AI206" s="15">
        <f>VLOOKUP($A$205,'集計'!$A$4:$EP$61,131,FALSE)</f>
        <v>0</v>
      </c>
      <c r="AJ206" s="16">
        <f>VLOOKUP($A$205,'集計'!$A$4:$EP$61,135,FALSE)</f>
        <v>0</v>
      </c>
      <c r="AK206" s="15">
        <f>VLOOKUP($A$205,'集計'!$A$4:$EP$61,139,FALSE)</f>
        <v>104</v>
      </c>
      <c r="AL206" s="16">
        <f>VLOOKUP($A$205,'集計'!$A$4:$EP$61,143,FALSE)</f>
        <v>101.92</v>
      </c>
    </row>
    <row r="207" spans="1:38" ht="13.5">
      <c r="A207" s="32" t="s">
        <v>23</v>
      </c>
      <c r="B207" s="15">
        <f>VLOOKUP($A$205,'集計'!$A$4:$EP$61,4,FALSE)</f>
        <v>22</v>
      </c>
      <c r="C207" s="16">
        <f>VLOOKUP($A$205,'集計'!$A$4:$EP$61,8,FALSE)</f>
        <v>6.25</v>
      </c>
      <c r="D207" s="15">
        <f>VLOOKUP($A$205,'集計'!$A$4:$EP$61,(12),FALSE)</f>
        <v>5</v>
      </c>
      <c r="E207" s="16">
        <f>VLOOKUP($A$205,'集計'!$A$4:$EP$61,16,FALSE)</f>
        <v>8.1</v>
      </c>
      <c r="F207" s="15">
        <f>VLOOKUP($A$205,'集計'!$A$4:$EP$61,20,FALSE)</f>
        <v>2</v>
      </c>
      <c r="G207" s="16">
        <f>VLOOKUP($A$205,'集計'!$A$4:$EP$61,24,FALSE)</f>
        <v>9.9</v>
      </c>
      <c r="H207" s="15">
        <f>VLOOKUP($A$205,'集計'!$A$4:$EP$61,28,FALSE)</f>
        <v>0</v>
      </c>
      <c r="I207" s="16">
        <f>VLOOKUP($A$205,'集計'!$A$4:$EP$61,32,FALSE)</f>
        <v>0</v>
      </c>
      <c r="J207" s="15">
        <f>VLOOKUP($A$205,'集計'!$A$4:$EP$61,36,FALSE)</f>
        <v>1</v>
      </c>
      <c r="K207" s="16">
        <f>VLOOKUP($A$205,'集計'!$A$4:$EP$61,40,FALSE)</f>
        <v>37.8</v>
      </c>
      <c r="L207" s="15">
        <f>VLOOKUP($A$205,'集計'!$A$4:$EP$61,44,FALSE)</f>
        <v>1</v>
      </c>
      <c r="M207" s="16">
        <f>VLOOKUP($A$205,'集計'!$A$4:$EP$61,48,FALSE)</f>
        <v>11.1</v>
      </c>
      <c r="N207" s="15">
        <f>VLOOKUP($A$205,'集計'!$A$4:$EP$61,52,FALSE)</f>
        <v>0</v>
      </c>
      <c r="O207" s="16">
        <f>VLOOKUP($A$205,'集計'!$A$4:$EP$61,56,FALSE)</f>
        <v>0</v>
      </c>
      <c r="P207" s="15">
        <f>VLOOKUP($A$205,'集計'!$A$4:$EP$61,60,FALSE)</f>
        <v>0</v>
      </c>
      <c r="Q207" s="16">
        <f>VLOOKUP($A$205,'集計'!$A$4:$EP$61,64,FALSE)</f>
        <v>0</v>
      </c>
      <c r="R207" s="15">
        <f>VLOOKUP($A$205,'集計'!$A$4:$EP$61,68,FALSE)</f>
        <v>31</v>
      </c>
      <c r="S207" s="16">
        <f>VLOOKUP($A$205,'集計'!$A$4:$EP$61,72,FALSE)</f>
        <v>73.15</v>
      </c>
      <c r="T207" s="32" t="s">
        <v>23</v>
      </c>
      <c r="U207" s="15">
        <f>VLOOKUP($A$205,'集計'!$A$4:$EP$61,76,FALSE)</f>
        <v>22</v>
      </c>
      <c r="V207" s="16">
        <f>VLOOKUP($A$205,'集計'!$A$4:$EP$61,80,FALSE)</f>
        <v>6.13</v>
      </c>
      <c r="W207" s="15">
        <f>VLOOKUP($A$205,'集計'!$A$4:$EP$61,84,FALSE)</f>
        <v>5</v>
      </c>
      <c r="X207" s="16">
        <f>VLOOKUP($A$205,'集計'!$A$4:$EP$61,88,FALSE)</f>
        <v>7.7</v>
      </c>
      <c r="Y207" s="15">
        <f>VLOOKUP($A$205,'集計'!$A$4:$EP$61,92,FALSE)</f>
        <v>2</v>
      </c>
      <c r="Z207" s="16">
        <f>VLOOKUP($A$205,'集計'!$A$4:$EP$61,96,FALSE)</f>
        <v>8.3</v>
      </c>
      <c r="AA207" s="15">
        <f>VLOOKUP($A$205,'集計'!$A$4:$EP$61,100,FALSE)</f>
        <v>0</v>
      </c>
      <c r="AB207" s="16">
        <f>VLOOKUP($A$205,'集計'!$A$4:$EP$61,104,FALSE)</f>
        <v>0</v>
      </c>
      <c r="AC207" s="15">
        <f>VLOOKUP($A$205,'集計'!$A$4:$EP$61,108,FALSE)</f>
        <v>1</v>
      </c>
      <c r="AD207" s="16">
        <f>VLOOKUP($A$205,'集計'!$A$4:$EP$61,112,FALSE)</f>
        <v>31.4</v>
      </c>
      <c r="AE207" s="15">
        <f>VLOOKUP($A$205,'集計'!$A$4:$EP$61,116,FALSE)</f>
        <v>1</v>
      </c>
      <c r="AF207" s="16">
        <f>VLOOKUP($A$205,'集計'!$A$4:$EP$61,120,FALSE)</f>
        <v>10.1</v>
      </c>
      <c r="AG207" s="15">
        <f>VLOOKUP($A$205,'集計'!$A$4:$EP$61,124,FALSE)</f>
        <v>0</v>
      </c>
      <c r="AH207" s="16">
        <f>VLOOKUP($A$205,'集計'!$A$4:$EP$61,128,FALSE)</f>
        <v>0</v>
      </c>
      <c r="AI207" s="15">
        <f>VLOOKUP($A$205,'集計'!$A$4:$EP$61,132,FALSE)</f>
        <v>0</v>
      </c>
      <c r="AJ207" s="16">
        <f>VLOOKUP($A$205,'集計'!$A$4:$EP$61,136,FALSE)</f>
        <v>0</v>
      </c>
      <c r="AK207" s="15">
        <f>VLOOKUP($A$205,'集計'!$A$4:$EP$61,140,FALSE)</f>
        <v>31</v>
      </c>
      <c r="AL207" s="16">
        <f>VLOOKUP($A$205,'集計'!$A$4:$EP$61,144,FALSE)</f>
        <v>63.63</v>
      </c>
    </row>
    <row r="208" spans="1:38" ht="13.5">
      <c r="A208" s="32" t="s">
        <v>24</v>
      </c>
      <c r="B208" s="15">
        <f>VLOOKUP($A$205,'集計'!$A$4:$EP$61,5,FALSE)</f>
        <v>10</v>
      </c>
      <c r="C208" s="16">
        <f>VLOOKUP($A$205,'集計'!$A$4:$EP$61,9,FALSE)</f>
        <v>2.8</v>
      </c>
      <c r="D208" s="15">
        <f>VLOOKUP($A$205,'集計'!$A$4:$EP$61,13,FALSE)</f>
        <v>7</v>
      </c>
      <c r="E208" s="16">
        <f>VLOOKUP($A$205,'集計'!$A$4:$EP$61,17,FALSE)</f>
        <v>18.2</v>
      </c>
      <c r="F208" s="15">
        <f>VLOOKUP($A$205,'集計'!$A$4:$EP$61,21,FALSE)</f>
        <v>9</v>
      </c>
      <c r="G208" s="16">
        <f>VLOOKUP($A$205,'集計'!$A$4:$EP$61,25,FALSE)</f>
        <v>54.8</v>
      </c>
      <c r="H208" s="15">
        <f>VLOOKUP($A$205,'集計'!$A$4:$EP$61,29,FALSE)</f>
        <v>6</v>
      </c>
      <c r="I208" s="16">
        <f>VLOOKUP($A$205,'集計'!$A$4:$EP$61,33,FALSE)</f>
        <v>76.9</v>
      </c>
      <c r="J208" s="15">
        <f>VLOOKUP($A$205,'集計'!$A$4:$EP$61,37,FALSE)</f>
        <v>5</v>
      </c>
      <c r="K208" s="16">
        <f>VLOOKUP($A$205,'集計'!$A$4:$EP$61,41,FALSE)</f>
        <v>114.9</v>
      </c>
      <c r="L208" s="15">
        <f>VLOOKUP($A$205,'集計'!$A$4:$EP$61,45,FALSE)</f>
        <v>3</v>
      </c>
      <c r="M208" s="16">
        <f>VLOOKUP($A$205,'集計'!$A$4:$EP$61,49,FALSE)</f>
        <v>62.6</v>
      </c>
      <c r="N208" s="15">
        <f>VLOOKUP($A$205,'集計'!$A$4:$EP$61,53,FALSE)</f>
        <v>1</v>
      </c>
      <c r="O208" s="16">
        <f>VLOOKUP($A$205,'集計'!$A$4:$EP$61,57,FALSE)</f>
        <v>75.4</v>
      </c>
      <c r="P208" s="15">
        <f>VLOOKUP($A$205,'集計'!$A$4:$EP$61,61,FALSE)</f>
        <v>2</v>
      </c>
      <c r="Q208" s="16">
        <f>VLOOKUP($A$205,'集計'!$A$4:$EP$61,65,FALSE)</f>
        <v>450.3</v>
      </c>
      <c r="R208" s="15">
        <f>VLOOKUP($A$205,'集計'!$A$4:$EP$61,69,FALSE)</f>
        <v>43</v>
      </c>
      <c r="S208" s="16">
        <f>VLOOKUP($A$205,'集計'!$A$4:$EP$61,73,FALSE)</f>
        <v>855.9</v>
      </c>
      <c r="T208" s="32" t="s">
        <v>24</v>
      </c>
      <c r="U208" s="15">
        <f>VLOOKUP($A$205,'集計'!$A$4:$EP$61,77,FALSE)</f>
        <v>9</v>
      </c>
      <c r="V208" s="16">
        <f>VLOOKUP($A$205,'集計'!$A$4:$EP$61,81,FALSE)</f>
        <v>2.57</v>
      </c>
      <c r="W208" s="15">
        <f>VLOOKUP($A$205,'集計'!$A$4:$EP$61,85,FALSE)</f>
        <v>6</v>
      </c>
      <c r="X208" s="16">
        <f>VLOOKUP($A$205,'集計'!$A$4:$EP$61,89,FALSE)</f>
        <v>15.5</v>
      </c>
      <c r="Y208" s="15">
        <f>VLOOKUP($A$205,'集計'!$A$4:$EP$61,93,FALSE)</f>
        <v>9</v>
      </c>
      <c r="Z208" s="16">
        <f>VLOOKUP($A$205,'集計'!$A$4:$EP$61,97,FALSE)</f>
        <v>54.5</v>
      </c>
      <c r="AA208" s="15">
        <f>VLOOKUP($A$205,'集計'!$A$4:$EP$61,101,FALSE)</f>
        <v>6</v>
      </c>
      <c r="AB208" s="16">
        <f>VLOOKUP($A$205,'集計'!$A$4:$EP$61,105,FALSE)</f>
        <v>73.9</v>
      </c>
      <c r="AC208" s="15">
        <f>VLOOKUP($A$205,'集計'!$A$4:$EP$61,109,FALSE)</f>
        <v>4</v>
      </c>
      <c r="AD208" s="16">
        <f>VLOOKUP($A$205,'集計'!$A$4:$EP$61,113,FALSE)</f>
        <v>76.2</v>
      </c>
      <c r="AE208" s="15">
        <f>VLOOKUP($A$205,'集計'!$A$4:$EP$61,117,FALSE)</f>
        <v>3</v>
      </c>
      <c r="AF208" s="16">
        <f>VLOOKUP($A$205,'集計'!$A$4:$EP$61,121,FALSE)</f>
        <v>47.9</v>
      </c>
      <c r="AG208" s="15">
        <f>VLOOKUP($A$205,'集計'!$A$4:$EP$61,125,FALSE)</f>
        <v>1</v>
      </c>
      <c r="AH208" s="16">
        <f>VLOOKUP($A$205,'集計'!$A$4:$EP$61,129,FALSE)</f>
        <v>75.3</v>
      </c>
      <c r="AI208" s="15">
        <f>VLOOKUP($A$205,'集計'!$A$4:$EP$61,133,FALSE)</f>
        <v>2</v>
      </c>
      <c r="AJ208" s="16">
        <f>VLOOKUP($A$205,'集計'!$A$4:$EP$61,137,FALSE)</f>
        <v>417.9</v>
      </c>
      <c r="AK208" s="15">
        <f>VLOOKUP($A$205,'集計'!$A$4:$EP$61,141,FALSE)</f>
        <v>40</v>
      </c>
      <c r="AL208" s="16">
        <f>VLOOKUP($A$205,'集計'!$A$4:$EP$61,145,FALSE)</f>
        <v>763.77</v>
      </c>
    </row>
    <row r="209" spans="1:38" ht="13.5">
      <c r="A209" s="32" t="s">
        <v>62</v>
      </c>
      <c r="B209" s="15">
        <f>VLOOKUP($A$209,'集計'!$A$4:$EP$61,6,FALSE)</f>
        <v>191</v>
      </c>
      <c r="C209" s="16">
        <f>VLOOKUP($A$209,'集計'!$A$4:$EP$61,10,FALSE)</f>
        <v>46.57</v>
      </c>
      <c r="D209" s="15">
        <f>VLOOKUP($A$209,'集計'!$A$4:$EP$61,14,FALSE)</f>
        <v>36</v>
      </c>
      <c r="E209" s="16">
        <f>VLOOKUP($A$209,'集計'!$A$4:$EP$61,18,FALSE)</f>
        <v>66</v>
      </c>
      <c r="F209" s="15">
        <f>VLOOKUP($A$209,'集計'!$A$4:$EP$61,22,FALSE)</f>
        <v>20</v>
      </c>
      <c r="G209" s="16">
        <f>VLOOKUP($A$209,'集計'!$A$4:$EP$61,26,FALSE)</f>
        <v>118</v>
      </c>
      <c r="H209" s="15">
        <f>VLOOKUP($A$209,'集計'!$A$4:$EP$61,30,FALSE)</f>
        <v>27</v>
      </c>
      <c r="I209" s="16">
        <f>VLOOKUP($A$209,'集計'!$A$4:$EP$61,34,FALSE)</f>
        <v>1203.2</v>
      </c>
      <c r="J209" s="15">
        <f>VLOOKUP($A$209,'集計'!$A$4:$EP$61,38,FALSE)</f>
        <v>10</v>
      </c>
      <c r="K209" s="16">
        <f>VLOOKUP($A$209,'集計'!$A$4:$EP$61,42,FALSE)</f>
        <v>203.3</v>
      </c>
      <c r="L209" s="15">
        <f>VLOOKUP($A$209,'集計'!$A$4:$EP$61,46,FALSE)</f>
        <v>12</v>
      </c>
      <c r="M209" s="16">
        <f>VLOOKUP($A$209,'集計'!$A$4:$EP$61,50,FALSE)</f>
        <v>385.8</v>
      </c>
      <c r="N209" s="15">
        <f>VLOOKUP($A$209,'集計'!$A$4:$EP$61,54,FALSE)</f>
        <v>6</v>
      </c>
      <c r="O209" s="16">
        <f>VLOOKUP($A$209,'集計'!$A$4:$EP$61,58,FALSE)</f>
        <v>36.6</v>
      </c>
      <c r="P209" s="15">
        <f>VLOOKUP($A$209,'集計'!$A$4:$EP$61,62,FALSE)</f>
        <v>2</v>
      </c>
      <c r="Q209" s="16">
        <f>VLOOKUP($A$209,'集計'!$A$4:$EP$61,66,FALSE)</f>
        <v>154.8</v>
      </c>
      <c r="R209" s="15">
        <f>VLOOKUP($A$209,'集計'!$A$4:$EP$61,70,FALSE)</f>
        <v>304</v>
      </c>
      <c r="S209" s="16">
        <f>VLOOKUP($A$209,'集計'!$A$4:$EP$61,74,FALSE)</f>
        <v>2214.27</v>
      </c>
      <c r="T209" s="32" t="s">
        <v>62</v>
      </c>
      <c r="U209" s="15">
        <f>VLOOKUP($A$209,'集計'!$A$4:$EP$61,78,FALSE)</f>
        <v>182</v>
      </c>
      <c r="V209" s="16">
        <f>VLOOKUP($A$209,'集計'!$A$4:$EP$61,82,FALSE)</f>
        <v>39.47</v>
      </c>
      <c r="W209" s="15">
        <f>VLOOKUP($A$209,'集計'!$A$4:$EP$61,86,FALSE)</f>
        <v>24</v>
      </c>
      <c r="X209" s="16">
        <f>VLOOKUP($A$209,'集計'!$A$4:$EP$61,90,FALSE)</f>
        <v>34.8</v>
      </c>
      <c r="Y209" s="15">
        <f>VLOOKUP($A$209,'集計'!$A$4:$EP$61,94,FALSE)</f>
        <v>16</v>
      </c>
      <c r="Z209" s="16">
        <f>VLOOKUP($A$209,'集計'!$A$4:$EP$61,98,FALSE)</f>
        <v>94.9</v>
      </c>
      <c r="AA209" s="15">
        <f>VLOOKUP($A$209,'集計'!$A$4:$EP$61,102,FALSE)</f>
        <v>25</v>
      </c>
      <c r="AB209" s="16">
        <f>VLOOKUP($A$209,'集計'!$A$4:$EP$61,106,FALSE)</f>
        <v>582.6</v>
      </c>
      <c r="AC209" s="15">
        <f>VLOOKUP($A$209,'集計'!$A$4:$EP$61,110,FALSE)</f>
        <v>10</v>
      </c>
      <c r="AD209" s="16">
        <f>VLOOKUP($A$209,'集計'!$A$4:$EP$61,114,FALSE)</f>
        <v>165.9</v>
      </c>
      <c r="AE209" s="15">
        <f>VLOOKUP($A$209,'集計'!$A$4:$EP$61,118,FALSE)</f>
        <v>10</v>
      </c>
      <c r="AF209" s="16">
        <f>VLOOKUP($A$209,'集計'!$A$4:$EP$61,122,FALSE)</f>
        <v>174.5</v>
      </c>
      <c r="AG209" s="15">
        <f>VLOOKUP($A$209,'集計'!$A$4:$EP$61,126,FALSE)</f>
        <v>6</v>
      </c>
      <c r="AH209" s="16">
        <f>VLOOKUP($A$209,'集計'!$A$4:$EP$61,130,FALSE)</f>
        <v>27.2</v>
      </c>
      <c r="AI209" s="15">
        <f>VLOOKUP($A$209,'集計'!$A$4:$EP$61,134,FALSE)</f>
        <v>2</v>
      </c>
      <c r="AJ209" s="16">
        <f>VLOOKUP($A$209,'集計'!$A$4:$EP$61,138,FALSE)</f>
        <v>97.8</v>
      </c>
      <c r="AK209" s="15">
        <f>VLOOKUP($A$209,'集計'!$A$4:$EP$61,142,FALSE)</f>
        <v>275</v>
      </c>
      <c r="AL209" s="16">
        <f>VLOOKUP($A$209,'集計'!$A$4:$EP$61,146,FALSE)</f>
        <v>1217.17</v>
      </c>
    </row>
    <row r="210" spans="1:38" ht="13.5">
      <c r="A210" s="32" t="s">
        <v>22</v>
      </c>
      <c r="B210" s="15">
        <f>VLOOKUP($A$209,'集計'!$A$4:$EP$61,3,FALSE)</f>
        <v>132</v>
      </c>
      <c r="C210" s="16">
        <f>VLOOKUP($A$209,'集計'!$A$4:$EP$61,7,FALSE)</f>
        <v>30.71</v>
      </c>
      <c r="D210" s="15">
        <f>VLOOKUP($A$209,'集計'!$A$4:$EP$61,11,FALSE)</f>
        <v>20</v>
      </c>
      <c r="E210" s="16">
        <f>VLOOKUP($A$209,'集計'!$A$4:$EP$61,15,FALSE)</f>
        <v>32.4</v>
      </c>
      <c r="F210" s="15">
        <f>VLOOKUP($A$209,'集計'!$A$4:$EP$61,19,FALSE)</f>
        <v>4</v>
      </c>
      <c r="G210" s="16">
        <f>VLOOKUP($A$209,'集計'!$A$4:$EP$61,23,FALSE)</f>
        <v>18.9</v>
      </c>
      <c r="H210" s="15">
        <f>VLOOKUP($A$209,'集計'!$A$4:$EP$61,27,FALSE)</f>
        <v>4</v>
      </c>
      <c r="I210" s="16">
        <f>VLOOKUP($A$209,'集計'!$A$4:$EP$61,31,FALSE)</f>
        <v>90</v>
      </c>
      <c r="J210" s="15">
        <f>VLOOKUP($A$209,'集計'!$A$4:$EP$61,35,FALSE)</f>
        <v>4</v>
      </c>
      <c r="K210" s="16">
        <f>VLOOKUP($A$209,'集計'!$A$4:$EP$61,39,FALSE)</f>
        <v>39.4</v>
      </c>
      <c r="L210" s="15">
        <f>VLOOKUP($A$209,'集計'!$A$4:$EP$61,43,FALSE)</f>
        <v>1</v>
      </c>
      <c r="M210" s="16">
        <f>VLOOKUP($A$209,'集計'!$A$4:$EP$61,47,FALSE)</f>
        <v>21.5</v>
      </c>
      <c r="N210" s="15">
        <f>VLOOKUP($A$209,'集計'!$A$4:$EP$61,51,FALSE)</f>
        <v>5</v>
      </c>
      <c r="O210" s="16">
        <f>VLOOKUP($A$209,'集計'!$A$4:$EP$61,55,FALSE)</f>
        <v>26.4</v>
      </c>
      <c r="P210" s="15">
        <f>VLOOKUP($A$209,'集計'!$A$4:$EP$61,59,FALSE)</f>
        <v>0</v>
      </c>
      <c r="Q210" s="16">
        <f>VLOOKUP($A$209,'集計'!$A$4:$EP$61,63,FALSE)</f>
        <v>0</v>
      </c>
      <c r="R210" s="15">
        <f>VLOOKUP($A$209,'集計'!$A$4:$EP$61,67,FALSE)</f>
        <v>170</v>
      </c>
      <c r="S210" s="16">
        <f>VLOOKUP($A$209,'集計'!$A$4:$EP$61,71,FALSE)</f>
        <v>259.31</v>
      </c>
      <c r="T210" s="32" t="s">
        <v>22</v>
      </c>
      <c r="U210" s="15">
        <f>VLOOKUP($A$209,'集計'!$A$4:$EP$61,75,FALSE)</f>
        <v>125</v>
      </c>
      <c r="V210" s="16">
        <f>VLOOKUP($A$209,'集計'!$A$4:$EP$61,79,FALSE)</f>
        <v>25.38</v>
      </c>
      <c r="W210" s="15">
        <f>VLOOKUP($A$209,'集計'!$A$4:$EP$61,83,FALSE)</f>
        <v>13</v>
      </c>
      <c r="X210" s="16">
        <f>VLOOKUP($A$209,'集計'!$A$4:$EP$61,87,FALSE)</f>
        <v>15.4</v>
      </c>
      <c r="Y210" s="15">
        <f>VLOOKUP($A$209,'集計'!$A$4:$EP$61,91,FALSE)</f>
        <v>2</v>
      </c>
      <c r="Z210" s="16">
        <f>VLOOKUP($A$209,'集計'!$A$4:$EP$61,95,FALSE)</f>
        <v>10.4</v>
      </c>
      <c r="AA210" s="15">
        <f>VLOOKUP($A$209,'集計'!$A$4:$EP$61,99,FALSE)</f>
        <v>4</v>
      </c>
      <c r="AB210" s="16">
        <f>VLOOKUP($A$209,'集計'!$A$4:$EP$61,103,FALSE)</f>
        <v>82.9</v>
      </c>
      <c r="AC210" s="15">
        <f>VLOOKUP($A$209,'集計'!$A$4:$EP$61,107,FALSE)</f>
        <v>4</v>
      </c>
      <c r="AD210" s="16">
        <f>VLOOKUP($A$209,'集計'!$A$4:$EP$61,111,FALSE)</f>
        <v>39.4</v>
      </c>
      <c r="AE210" s="15">
        <f>VLOOKUP($A$209,'集計'!$A$4:$EP$61,115,FALSE)</f>
        <v>1</v>
      </c>
      <c r="AF210" s="16">
        <f>VLOOKUP($A$209,'集計'!$A$4:$EP$61,119,FALSE)</f>
        <v>2.3</v>
      </c>
      <c r="AG210" s="15">
        <f>VLOOKUP($A$209,'集計'!$A$4:$EP$61,123,FALSE)</f>
        <v>5</v>
      </c>
      <c r="AH210" s="16">
        <f>VLOOKUP($A$209,'集計'!$A$4:$EP$61,127,FALSE)</f>
        <v>18.6</v>
      </c>
      <c r="AI210" s="15">
        <f>VLOOKUP($A$209,'集計'!$A$4:$EP$61,131,FALSE)</f>
        <v>0</v>
      </c>
      <c r="AJ210" s="16">
        <f>VLOOKUP($A$209,'集計'!$A$4:$EP$61,135,FALSE)</f>
        <v>0</v>
      </c>
      <c r="AK210" s="15">
        <f>VLOOKUP($A$209,'集計'!$A$4:$EP$61,139,FALSE)</f>
        <v>154</v>
      </c>
      <c r="AL210" s="16">
        <f>VLOOKUP($A$209,'集計'!$A$4:$EP$61,143,FALSE)</f>
        <v>194.38</v>
      </c>
    </row>
    <row r="211" spans="1:38" ht="13.5">
      <c r="A211" s="32" t="s">
        <v>23</v>
      </c>
      <c r="B211" s="15">
        <f>VLOOKUP($A$209,'集計'!$A$4:$EP$61,4,FALSE)</f>
        <v>26</v>
      </c>
      <c r="C211" s="16">
        <f>VLOOKUP($A$209,'集計'!$A$4:$EP$61,8,FALSE)</f>
        <v>6.62</v>
      </c>
      <c r="D211" s="15">
        <f>VLOOKUP($A$209,'集計'!$A$4:$EP$61,(12),FALSE)</f>
        <v>2</v>
      </c>
      <c r="E211" s="16">
        <f>VLOOKUP($A$209,'集計'!$A$4:$EP$61,16,FALSE)</f>
        <v>3.8</v>
      </c>
      <c r="F211" s="15">
        <f>VLOOKUP($A$209,'集計'!$A$4:$EP$61,20,FALSE)</f>
        <v>3</v>
      </c>
      <c r="G211" s="16">
        <f>VLOOKUP($A$209,'集計'!$A$4:$EP$61,24,FALSE)</f>
        <v>12.4</v>
      </c>
      <c r="H211" s="15">
        <f>VLOOKUP($A$209,'集計'!$A$4:$EP$61,28,FALSE)</f>
        <v>0</v>
      </c>
      <c r="I211" s="16">
        <f>VLOOKUP($A$209,'集計'!$A$4:$EP$61,32,FALSE)</f>
        <v>0</v>
      </c>
      <c r="J211" s="15">
        <f>VLOOKUP($A$209,'集計'!$A$4:$EP$61,36,FALSE)</f>
        <v>0</v>
      </c>
      <c r="K211" s="16">
        <f>VLOOKUP($A$209,'集計'!$A$4:$EP$61,40,FALSE)</f>
        <v>0</v>
      </c>
      <c r="L211" s="15">
        <f>VLOOKUP($A$209,'集計'!$A$4:$EP$61,44,FALSE)</f>
        <v>0</v>
      </c>
      <c r="M211" s="16">
        <f>VLOOKUP($A$209,'集計'!$A$4:$EP$61,48,FALSE)</f>
        <v>0</v>
      </c>
      <c r="N211" s="15">
        <f>VLOOKUP($A$209,'集計'!$A$4:$EP$61,52,FALSE)</f>
        <v>0</v>
      </c>
      <c r="O211" s="16">
        <f>VLOOKUP($A$209,'集計'!$A$4:$EP$61,56,FALSE)</f>
        <v>0</v>
      </c>
      <c r="P211" s="15">
        <f>VLOOKUP($A$209,'集計'!$A$4:$EP$61,60,FALSE)</f>
        <v>0</v>
      </c>
      <c r="Q211" s="16">
        <f>VLOOKUP($A$209,'集計'!$A$4:$EP$61,64,FALSE)</f>
        <v>0</v>
      </c>
      <c r="R211" s="15">
        <f>VLOOKUP($A$209,'集計'!$A$4:$EP$61,68,FALSE)</f>
        <v>31</v>
      </c>
      <c r="S211" s="16">
        <f>VLOOKUP($A$209,'集計'!$A$4:$EP$61,72,FALSE)</f>
        <v>22.82</v>
      </c>
      <c r="T211" s="32" t="s">
        <v>23</v>
      </c>
      <c r="U211" s="15">
        <f>VLOOKUP($A$209,'集計'!$A$4:$EP$61,76,FALSE)</f>
        <v>26</v>
      </c>
      <c r="V211" s="16">
        <f>VLOOKUP($A$209,'集計'!$A$4:$EP$61,80,FALSE)</f>
        <v>6.56</v>
      </c>
      <c r="W211" s="15">
        <f>VLOOKUP($A$209,'集計'!$A$4:$EP$61,84,FALSE)</f>
        <v>1</v>
      </c>
      <c r="X211" s="16">
        <f>VLOOKUP($A$209,'集計'!$A$4:$EP$61,88,FALSE)</f>
        <v>1.8</v>
      </c>
      <c r="Y211" s="15">
        <f>VLOOKUP($A$209,'集計'!$A$4:$EP$61,92,FALSE)</f>
        <v>2</v>
      </c>
      <c r="Z211" s="16">
        <f>VLOOKUP($A$209,'集計'!$A$4:$EP$61,96,FALSE)</f>
        <v>7.8</v>
      </c>
      <c r="AA211" s="15">
        <f>VLOOKUP($A$209,'集計'!$A$4:$EP$61,100,FALSE)</f>
        <v>0</v>
      </c>
      <c r="AB211" s="16">
        <f>VLOOKUP($A$209,'集計'!$A$4:$EP$61,104,FALSE)</f>
        <v>0</v>
      </c>
      <c r="AC211" s="15">
        <f>VLOOKUP($A$209,'集計'!$A$4:$EP$61,108,FALSE)</f>
        <v>0</v>
      </c>
      <c r="AD211" s="16">
        <f>VLOOKUP($A$209,'集計'!$A$4:$EP$61,112,FALSE)</f>
        <v>0</v>
      </c>
      <c r="AE211" s="15">
        <f>VLOOKUP($A$209,'集計'!$A$4:$EP$61,116,FALSE)</f>
        <v>0</v>
      </c>
      <c r="AF211" s="16">
        <f>VLOOKUP($A$209,'集計'!$A$4:$EP$61,120,FALSE)</f>
        <v>0</v>
      </c>
      <c r="AG211" s="15">
        <f>VLOOKUP($A$209,'集計'!$A$4:$EP$61,124,FALSE)</f>
        <v>0</v>
      </c>
      <c r="AH211" s="16">
        <f>VLOOKUP($A$209,'集計'!$A$4:$EP$61,128,FALSE)</f>
        <v>0</v>
      </c>
      <c r="AI211" s="15">
        <f>VLOOKUP($A$209,'集計'!$A$4:$EP$61,132,FALSE)</f>
        <v>0</v>
      </c>
      <c r="AJ211" s="16">
        <f>VLOOKUP($A$209,'集計'!$A$4:$EP$61,136,FALSE)</f>
        <v>0</v>
      </c>
      <c r="AK211" s="15">
        <f>VLOOKUP($A$209,'集計'!$A$4:$EP$61,140,FALSE)</f>
        <v>29</v>
      </c>
      <c r="AL211" s="16">
        <f>VLOOKUP($A$209,'集計'!$A$4:$EP$61,144,FALSE)</f>
        <v>16.16</v>
      </c>
    </row>
    <row r="212" spans="1:38" ht="13.5">
      <c r="A212" s="32" t="s">
        <v>24</v>
      </c>
      <c r="B212" s="15">
        <f>VLOOKUP($A$209,'集計'!$A$4:$EP$61,5,FALSE)</f>
        <v>33</v>
      </c>
      <c r="C212" s="16">
        <f>VLOOKUP($A$209,'集計'!$A$4:$EP$61,9,FALSE)</f>
        <v>9.24</v>
      </c>
      <c r="D212" s="15">
        <f>VLOOKUP($A$209,'集計'!$A$4:$EP$61,13,FALSE)</f>
        <v>14</v>
      </c>
      <c r="E212" s="16">
        <f>VLOOKUP($A$209,'集計'!$A$4:$EP$61,17,FALSE)</f>
        <v>29.8</v>
      </c>
      <c r="F212" s="15">
        <f>VLOOKUP($A$209,'集計'!$A$4:$EP$61,21,FALSE)</f>
        <v>13</v>
      </c>
      <c r="G212" s="16">
        <f>VLOOKUP($A$209,'集計'!$A$4:$EP$61,25,FALSE)</f>
        <v>86.7</v>
      </c>
      <c r="H212" s="15">
        <f>VLOOKUP($A$209,'集計'!$A$4:$EP$61,29,FALSE)</f>
        <v>23</v>
      </c>
      <c r="I212" s="16">
        <f>VLOOKUP($A$209,'集計'!$A$4:$EP$61,33,FALSE)</f>
        <v>1113.2</v>
      </c>
      <c r="J212" s="15">
        <f>VLOOKUP($A$209,'集計'!$A$4:$EP$61,37,FALSE)</f>
        <v>6</v>
      </c>
      <c r="K212" s="16">
        <f>VLOOKUP($A$209,'集計'!$A$4:$EP$61,41,FALSE)</f>
        <v>163.9</v>
      </c>
      <c r="L212" s="15">
        <f>VLOOKUP($A$209,'集計'!$A$4:$EP$61,45,FALSE)</f>
        <v>11</v>
      </c>
      <c r="M212" s="16">
        <f>VLOOKUP($A$209,'集計'!$A$4:$EP$61,49,FALSE)</f>
        <v>364.3</v>
      </c>
      <c r="N212" s="15">
        <f>VLOOKUP($A$209,'集計'!$A$4:$EP$61,53,FALSE)</f>
        <v>1</v>
      </c>
      <c r="O212" s="16">
        <f>VLOOKUP($A$209,'集計'!$A$4:$EP$61,57,FALSE)</f>
        <v>10.2</v>
      </c>
      <c r="P212" s="15">
        <f>VLOOKUP($A$209,'集計'!$A$4:$EP$61,61,FALSE)</f>
        <v>2</v>
      </c>
      <c r="Q212" s="16">
        <f>VLOOKUP($A$209,'集計'!$A$4:$EP$61,65,FALSE)</f>
        <v>154.8</v>
      </c>
      <c r="R212" s="15">
        <f>VLOOKUP($A$209,'集計'!$A$4:$EP$61,69,FALSE)</f>
        <v>103</v>
      </c>
      <c r="S212" s="16">
        <f>VLOOKUP($A$209,'集計'!$A$4:$EP$61,73,FALSE)</f>
        <v>1932.14</v>
      </c>
      <c r="T212" s="32" t="s">
        <v>24</v>
      </c>
      <c r="U212" s="15">
        <f>VLOOKUP($A$209,'集計'!$A$4:$EP$61,77,FALSE)</f>
        <v>31</v>
      </c>
      <c r="V212" s="16">
        <f>VLOOKUP($A$209,'集計'!$A$4:$EP$61,81,FALSE)</f>
        <v>7.53</v>
      </c>
      <c r="W212" s="15">
        <f>VLOOKUP($A$209,'集計'!$A$4:$EP$61,85,FALSE)</f>
        <v>10</v>
      </c>
      <c r="X212" s="16">
        <f>VLOOKUP($A$209,'集計'!$A$4:$EP$61,89,FALSE)</f>
        <v>17.6</v>
      </c>
      <c r="Y212" s="15">
        <f>VLOOKUP($A$209,'集計'!$A$4:$EP$61,93,FALSE)</f>
        <v>12</v>
      </c>
      <c r="Z212" s="16">
        <f>VLOOKUP($A$209,'集計'!$A$4:$EP$61,97,FALSE)</f>
        <v>76.7</v>
      </c>
      <c r="AA212" s="15">
        <f>VLOOKUP($A$209,'集計'!$A$4:$EP$61,101,FALSE)</f>
        <v>21</v>
      </c>
      <c r="AB212" s="16">
        <f>VLOOKUP($A$209,'集計'!$A$4:$EP$61,105,FALSE)</f>
        <v>499.7</v>
      </c>
      <c r="AC212" s="15">
        <f>VLOOKUP($A$209,'集計'!$A$4:$EP$61,109,FALSE)</f>
        <v>6</v>
      </c>
      <c r="AD212" s="16">
        <f>VLOOKUP($A$209,'集計'!$A$4:$EP$61,113,FALSE)</f>
        <v>126.5</v>
      </c>
      <c r="AE212" s="15">
        <f>VLOOKUP($A$209,'集計'!$A$4:$EP$61,117,FALSE)</f>
        <v>9</v>
      </c>
      <c r="AF212" s="16">
        <f>VLOOKUP($A$209,'集計'!$A$4:$EP$61,121,FALSE)</f>
        <v>172.2</v>
      </c>
      <c r="AG212" s="15">
        <f>VLOOKUP($A$209,'集計'!$A$4:$EP$61,125,FALSE)</f>
        <v>1</v>
      </c>
      <c r="AH212" s="16">
        <f>VLOOKUP($A$209,'集計'!$A$4:$EP$61,129,FALSE)</f>
        <v>8.6</v>
      </c>
      <c r="AI212" s="15">
        <f>VLOOKUP($A$209,'集計'!$A$4:$EP$61,133,FALSE)</f>
        <v>2</v>
      </c>
      <c r="AJ212" s="16">
        <f>VLOOKUP($A$209,'集計'!$A$4:$EP$61,137,FALSE)</f>
        <v>97.8</v>
      </c>
      <c r="AK212" s="15">
        <f>VLOOKUP($A$209,'集計'!$A$4:$EP$61,141,FALSE)</f>
        <v>92</v>
      </c>
      <c r="AL212" s="16">
        <f>VLOOKUP($A$209,'集計'!$A$4:$EP$61,145,FALSE)</f>
        <v>1006.63</v>
      </c>
    </row>
    <row r="213" spans="1:38" ht="13.5">
      <c r="A213" s="32" t="s">
        <v>63</v>
      </c>
      <c r="B213" s="15">
        <f>VLOOKUP($A$213,'集計'!$A$4:$EP$61,6,FALSE)</f>
        <v>192</v>
      </c>
      <c r="C213" s="16">
        <f>VLOOKUP($A$213,'集計'!$A$4:$EP$61,10,FALSE)</f>
        <v>39.59</v>
      </c>
      <c r="D213" s="15">
        <f>VLOOKUP($A$213,'集計'!$A$4:$EP$61,14,FALSE)</f>
        <v>37</v>
      </c>
      <c r="E213" s="16">
        <f>VLOOKUP($A$213,'集計'!$A$4:$EP$61,18,FALSE)</f>
        <v>67.5</v>
      </c>
      <c r="F213" s="15">
        <f>VLOOKUP($A$213,'集計'!$A$4:$EP$61,22,FALSE)</f>
        <v>8</v>
      </c>
      <c r="G213" s="16">
        <f>VLOOKUP($A$213,'集計'!$A$4:$EP$61,26,FALSE)</f>
        <v>45.5</v>
      </c>
      <c r="H213" s="15">
        <f>VLOOKUP($A$213,'集計'!$A$4:$EP$61,30,FALSE)</f>
        <v>7</v>
      </c>
      <c r="I213" s="16">
        <f>VLOOKUP($A$213,'集計'!$A$4:$EP$61,34,FALSE)</f>
        <v>270.7</v>
      </c>
      <c r="J213" s="15">
        <f>VLOOKUP($A$213,'集計'!$A$4:$EP$61,38,FALSE)</f>
        <v>4</v>
      </c>
      <c r="K213" s="16">
        <f>VLOOKUP($A$213,'集計'!$A$4:$EP$61,42,FALSE)</f>
        <v>103.3</v>
      </c>
      <c r="L213" s="15">
        <f>VLOOKUP($A$213,'集計'!$A$4:$EP$61,46,FALSE)</f>
        <v>7</v>
      </c>
      <c r="M213" s="16">
        <f>VLOOKUP($A$213,'集計'!$A$4:$EP$61,50,FALSE)</f>
        <v>61.3</v>
      </c>
      <c r="N213" s="15">
        <f>VLOOKUP($A$213,'集計'!$A$4:$EP$61,54,FALSE)</f>
        <v>1</v>
      </c>
      <c r="O213" s="16">
        <f>VLOOKUP($A$213,'集計'!$A$4:$EP$61,58,FALSE)</f>
        <v>10.5</v>
      </c>
      <c r="P213" s="15">
        <f>VLOOKUP($A$213,'集計'!$A$4:$EP$61,62,FALSE)</f>
        <v>5</v>
      </c>
      <c r="Q213" s="16">
        <f>VLOOKUP($A$213,'集計'!$A$4:$EP$61,66,FALSE)</f>
        <v>656.4</v>
      </c>
      <c r="R213" s="15">
        <f>VLOOKUP($A$213,'集計'!$A$4:$EP$61,70,FALSE)</f>
        <v>261</v>
      </c>
      <c r="S213" s="16">
        <f>VLOOKUP($A$213,'集計'!$A$4:$EP$61,74,FALSE)</f>
        <v>1254.79</v>
      </c>
      <c r="T213" s="32" t="s">
        <v>63</v>
      </c>
      <c r="U213" s="15">
        <f>VLOOKUP($A$213,'集計'!$A$4:$EP$61,78,FALSE)</f>
        <v>188</v>
      </c>
      <c r="V213" s="16">
        <f>VLOOKUP($A$213,'集計'!$A$4:$EP$61,82,FALSE)</f>
        <v>37.72</v>
      </c>
      <c r="W213" s="15">
        <f>VLOOKUP($A$213,'集計'!$A$4:$EP$61,86,FALSE)</f>
        <v>30</v>
      </c>
      <c r="X213" s="16">
        <f>VLOOKUP($A$213,'集計'!$A$4:$EP$61,90,FALSE)</f>
        <v>44.9</v>
      </c>
      <c r="Y213" s="15">
        <f>VLOOKUP($A$213,'集計'!$A$4:$EP$61,94,FALSE)</f>
        <v>6</v>
      </c>
      <c r="Z213" s="16">
        <f>VLOOKUP($A$213,'集計'!$A$4:$EP$61,98,FALSE)</f>
        <v>29.4</v>
      </c>
      <c r="AA213" s="15">
        <f>VLOOKUP($A$213,'集計'!$A$4:$EP$61,102,FALSE)</f>
        <v>6</v>
      </c>
      <c r="AB213" s="16">
        <f>VLOOKUP($A$213,'集計'!$A$4:$EP$61,106,FALSE)</f>
        <v>166.9</v>
      </c>
      <c r="AC213" s="15">
        <f>VLOOKUP($A$213,'集計'!$A$4:$EP$61,110,FALSE)</f>
        <v>4</v>
      </c>
      <c r="AD213" s="16">
        <f>VLOOKUP($A$213,'集計'!$A$4:$EP$61,114,FALSE)</f>
        <v>75.3</v>
      </c>
      <c r="AE213" s="15">
        <f>VLOOKUP($A$213,'集計'!$A$4:$EP$61,118,FALSE)</f>
        <v>6</v>
      </c>
      <c r="AF213" s="16">
        <f>VLOOKUP($A$213,'集計'!$A$4:$EP$61,122,FALSE)</f>
        <v>57.7</v>
      </c>
      <c r="AG213" s="15">
        <f>VLOOKUP($A$213,'集計'!$A$4:$EP$61,126,FALSE)</f>
        <v>1</v>
      </c>
      <c r="AH213" s="16">
        <f>VLOOKUP($A$213,'集計'!$A$4:$EP$61,130,FALSE)</f>
        <v>10.3</v>
      </c>
      <c r="AI213" s="15">
        <f>VLOOKUP($A$213,'集計'!$A$4:$EP$61,134,FALSE)</f>
        <v>5</v>
      </c>
      <c r="AJ213" s="16">
        <f>VLOOKUP($A$213,'集計'!$A$4:$EP$61,138,FALSE)</f>
        <v>165.6</v>
      </c>
      <c r="AK213" s="15">
        <f>VLOOKUP($A$213,'集計'!$A$4:$EP$61,142,FALSE)</f>
        <v>246</v>
      </c>
      <c r="AL213" s="16">
        <f>VLOOKUP($A$213,'集計'!$A$4:$EP$61,146,FALSE)</f>
        <v>587.82</v>
      </c>
    </row>
    <row r="214" spans="1:38" ht="13.5">
      <c r="A214" s="32" t="s">
        <v>22</v>
      </c>
      <c r="B214" s="15">
        <f>VLOOKUP($A$213,'集計'!$A$4:$EP$61,3,FALSE)</f>
        <v>124</v>
      </c>
      <c r="C214" s="16">
        <f>VLOOKUP($A$213,'集計'!$A$4:$EP$61,7,FALSE)</f>
        <v>26.26</v>
      </c>
      <c r="D214" s="15">
        <f>VLOOKUP($A$213,'集計'!$A$4:$EP$61,11,FALSE)</f>
        <v>18</v>
      </c>
      <c r="E214" s="16">
        <f>VLOOKUP($A$213,'集計'!$A$4:$EP$61,15,FALSE)</f>
        <v>32</v>
      </c>
      <c r="F214" s="15">
        <f>VLOOKUP($A$213,'集計'!$A$4:$EP$61,19,FALSE)</f>
        <v>1</v>
      </c>
      <c r="G214" s="16">
        <f>VLOOKUP($A$213,'集計'!$A$4:$EP$61,23,FALSE)</f>
        <v>4.4</v>
      </c>
      <c r="H214" s="15">
        <f>VLOOKUP($A$213,'集計'!$A$4:$EP$61,27,FALSE)</f>
        <v>0</v>
      </c>
      <c r="I214" s="16">
        <f>VLOOKUP($A$213,'集計'!$A$4:$EP$61,31,FALSE)</f>
        <v>0</v>
      </c>
      <c r="J214" s="15">
        <f>VLOOKUP($A$213,'集計'!$A$4:$EP$61,35,FALSE)</f>
        <v>0</v>
      </c>
      <c r="K214" s="16">
        <f>VLOOKUP($A$213,'集計'!$A$4:$EP$61,39,FALSE)</f>
        <v>0</v>
      </c>
      <c r="L214" s="15">
        <f>VLOOKUP($A$213,'集計'!$A$4:$EP$61,43,FALSE)</f>
        <v>3</v>
      </c>
      <c r="M214" s="16">
        <f>VLOOKUP($A$213,'集計'!$A$4:$EP$61,47,FALSE)</f>
        <v>29.6</v>
      </c>
      <c r="N214" s="15">
        <f>VLOOKUP($A$213,'集計'!$A$4:$EP$61,51,FALSE)</f>
        <v>1</v>
      </c>
      <c r="O214" s="16">
        <f>VLOOKUP($A$213,'集計'!$A$4:$EP$61,55,FALSE)</f>
        <v>10.5</v>
      </c>
      <c r="P214" s="15">
        <f>VLOOKUP($A$213,'集計'!$A$4:$EP$61,59,FALSE)</f>
        <v>0</v>
      </c>
      <c r="Q214" s="16">
        <f>VLOOKUP($A$213,'集計'!$A$4:$EP$61,63,FALSE)</f>
        <v>0</v>
      </c>
      <c r="R214" s="15">
        <f>VLOOKUP($A$213,'集計'!$A$4:$EP$61,67,FALSE)</f>
        <v>147</v>
      </c>
      <c r="S214" s="16">
        <f>VLOOKUP($A$213,'集計'!$A$4:$EP$61,71,FALSE)</f>
        <v>102.76</v>
      </c>
      <c r="T214" s="32" t="s">
        <v>22</v>
      </c>
      <c r="U214" s="15">
        <f>VLOOKUP($A$213,'集計'!$A$4:$EP$61,75,FALSE)</f>
        <v>122</v>
      </c>
      <c r="V214" s="16">
        <f>VLOOKUP($A$213,'集計'!$A$4:$EP$61,79,FALSE)</f>
        <v>24.52</v>
      </c>
      <c r="W214" s="15">
        <f>VLOOKUP($A$213,'集計'!$A$4:$EP$61,83,FALSE)</f>
        <v>15</v>
      </c>
      <c r="X214" s="16">
        <f>VLOOKUP($A$213,'集計'!$A$4:$EP$61,87,FALSE)</f>
        <v>18</v>
      </c>
      <c r="Y214" s="15">
        <f>VLOOKUP($A$213,'集計'!$A$4:$EP$61,91,FALSE)</f>
        <v>1</v>
      </c>
      <c r="Z214" s="16">
        <f>VLOOKUP($A$213,'集計'!$A$4:$EP$61,95,FALSE)</f>
        <v>4.4</v>
      </c>
      <c r="AA214" s="15">
        <f>VLOOKUP($A$213,'集計'!$A$4:$EP$61,99,FALSE)</f>
        <v>0</v>
      </c>
      <c r="AB214" s="16">
        <f>VLOOKUP($A$213,'集計'!$A$4:$EP$61,103,FALSE)</f>
        <v>0</v>
      </c>
      <c r="AC214" s="15">
        <f>VLOOKUP($A$213,'集計'!$A$4:$EP$61,107,FALSE)</f>
        <v>0</v>
      </c>
      <c r="AD214" s="16">
        <f>VLOOKUP($A$213,'集計'!$A$4:$EP$61,111,FALSE)</f>
        <v>0</v>
      </c>
      <c r="AE214" s="15">
        <f>VLOOKUP($A$213,'集計'!$A$4:$EP$61,115,FALSE)</f>
        <v>3</v>
      </c>
      <c r="AF214" s="16">
        <f>VLOOKUP($A$213,'集計'!$A$4:$EP$61,119,FALSE)</f>
        <v>26.4</v>
      </c>
      <c r="AG214" s="15">
        <f>VLOOKUP($A$213,'集計'!$A$4:$EP$61,123,FALSE)</f>
        <v>1</v>
      </c>
      <c r="AH214" s="16">
        <f>VLOOKUP($A$213,'集計'!$A$4:$EP$61,127,FALSE)</f>
        <v>10.3</v>
      </c>
      <c r="AI214" s="15">
        <f>VLOOKUP($A$213,'集計'!$A$4:$EP$61,131,FALSE)</f>
        <v>0</v>
      </c>
      <c r="AJ214" s="16">
        <f>VLOOKUP($A$213,'集計'!$A$4:$EP$61,135,FALSE)</f>
        <v>0</v>
      </c>
      <c r="AK214" s="15">
        <f>VLOOKUP($A$213,'集計'!$A$4:$EP$61,139,FALSE)</f>
        <v>142</v>
      </c>
      <c r="AL214" s="16">
        <f>VLOOKUP($A$213,'集計'!$A$4:$EP$61,143,FALSE)</f>
        <v>83.62</v>
      </c>
    </row>
    <row r="215" spans="1:38" ht="13.5">
      <c r="A215" s="32" t="s">
        <v>23</v>
      </c>
      <c r="B215" s="15">
        <f>VLOOKUP($A$213,'集計'!$A$4:$EP$61,4,FALSE)</f>
        <v>24</v>
      </c>
      <c r="C215" s="16">
        <f>VLOOKUP($A$213,'集計'!$A$4:$EP$61,8,FALSE)</f>
        <v>4.61</v>
      </c>
      <c r="D215" s="15">
        <f>VLOOKUP($A$213,'集計'!$A$4:$EP$61,(12),FALSE)</f>
        <v>10</v>
      </c>
      <c r="E215" s="16">
        <f>VLOOKUP($A$213,'集計'!$A$4:$EP$61,16,FALSE)</f>
        <v>20.7</v>
      </c>
      <c r="F215" s="15">
        <f>VLOOKUP($A$213,'集計'!$A$4:$EP$61,20,FALSE)</f>
        <v>1</v>
      </c>
      <c r="G215" s="16">
        <f>VLOOKUP($A$213,'集計'!$A$4:$EP$61,24,FALSE)</f>
        <v>4.9</v>
      </c>
      <c r="H215" s="15">
        <f>VLOOKUP($A$213,'集計'!$A$4:$EP$61,28,FALSE)</f>
        <v>1</v>
      </c>
      <c r="I215" s="16">
        <f>VLOOKUP($A$213,'集計'!$A$4:$EP$61,32,FALSE)</f>
        <v>38.7</v>
      </c>
      <c r="J215" s="15">
        <f>VLOOKUP($A$213,'集計'!$A$4:$EP$61,36,FALSE)</f>
        <v>0</v>
      </c>
      <c r="K215" s="16">
        <f>VLOOKUP($A$213,'集計'!$A$4:$EP$61,40,FALSE)</f>
        <v>0</v>
      </c>
      <c r="L215" s="15">
        <f>VLOOKUP($A$213,'集計'!$A$4:$EP$61,44,FALSE)</f>
        <v>1</v>
      </c>
      <c r="M215" s="16">
        <f>VLOOKUP($A$213,'集計'!$A$4:$EP$61,48,FALSE)</f>
        <v>10</v>
      </c>
      <c r="N215" s="15">
        <f>VLOOKUP($A$213,'集計'!$A$4:$EP$61,52,FALSE)</f>
        <v>0</v>
      </c>
      <c r="O215" s="16">
        <f>VLOOKUP($A$213,'集計'!$A$4:$EP$61,56,FALSE)</f>
        <v>0</v>
      </c>
      <c r="P215" s="15">
        <f>VLOOKUP($A$213,'集計'!$A$4:$EP$61,60,FALSE)</f>
        <v>0</v>
      </c>
      <c r="Q215" s="16">
        <f>VLOOKUP($A$213,'集計'!$A$4:$EP$61,64,FALSE)</f>
        <v>0</v>
      </c>
      <c r="R215" s="15">
        <f>VLOOKUP($A$213,'集計'!$A$4:$EP$61,68,FALSE)</f>
        <v>37</v>
      </c>
      <c r="S215" s="16">
        <f>VLOOKUP($A$213,'集計'!$A$4:$EP$61,72,FALSE)</f>
        <v>78.91</v>
      </c>
      <c r="T215" s="32" t="s">
        <v>23</v>
      </c>
      <c r="U215" s="15">
        <f>VLOOKUP($A$213,'集計'!$A$4:$EP$61,76,FALSE)</f>
        <v>23</v>
      </c>
      <c r="V215" s="16">
        <f>VLOOKUP($A$213,'集計'!$A$4:$EP$61,80,FALSE)</f>
        <v>4.55</v>
      </c>
      <c r="W215" s="15">
        <f>VLOOKUP($A$213,'集計'!$A$4:$EP$61,84,FALSE)</f>
        <v>9</v>
      </c>
      <c r="X215" s="16">
        <f>VLOOKUP($A$213,'集計'!$A$4:$EP$61,88,FALSE)</f>
        <v>16.5</v>
      </c>
      <c r="Y215" s="15">
        <f>VLOOKUP($A$213,'集計'!$A$4:$EP$61,92,FALSE)</f>
        <v>1</v>
      </c>
      <c r="Z215" s="16">
        <f>VLOOKUP($A$213,'集計'!$A$4:$EP$61,96,FALSE)</f>
        <v>4</v>
      </c>
      <c r="AA215" s="15">
        <f>VLOOKUP($A$213,'集計'!$A$4:$EP$61,100,FALSE)</f>
        <v>1</v>
      </c>
      <c r="AB215" s="16">
        <f>VLOOKUP($A$213,'集計'!$A$4:$EP$61,104,FALSE)</f>
        <v>31.7</v>
      </c>
      <c r="AC215" s="15">
        <f>VLOOKUP($A$213,'集計'!$A$4:$EP$61,108,FALSE)</f>
        <v>0</v>
      </c>
      <c r="AD215" s="16">
        <f>VLOOKUP($A$213,'集計'!$A$4:$EP$61,112,FALSE)</f>
        <v>0</v>
      </c>
      <c r="AE215" s="15">
        <f>VLOOKUP($A$213,'集計'!$A$4:$EP$61,116,FALSE)</f>
        <v>1</v>
      </c>
      <c r="AF215" s="16">
        <f>VLOOKUP($A$213,'集計'!$A$4:$EP$61,120,FALSE)</f>
        <v>10</v>
      </c>
      <c r="AG215" s="15">
        <f>VLOOKUP($A$213,'集計'!$A$4:$EP$61,124,FALSE)</f>
        <v>0</v>
      </c>
      <c r="AH215" s="16">
        <f>VLOOKUP($A$213,'集計'!$A$4:$EP$61,128,FALSE)</f>
        <v>0</v>
      </c>
      <c r="AI215" s="15">
        <f>VLOOKUP($A$213,'集計'!$A$4:$EP$61,132,FALSE)</f>
        <v>0</v>
      </c>
      <c r="AJ215" s="16">
        <f>VLOOKUP($A$213,'集計'!$A$4:$EP$61,136,FALSE)</f>
        <v>0</v>
      </c>
      <c r="AK215" s="15">
        <f>VLOOKUP($A$213,'集計'!$A$4:$EP$61,140,FALSE)</f>
        <v>35</v>
      </c>
      <c r="AL215" s="16">
        <f>VLOOKUP($A$213,'集計'!$A$4:$EP$61,144,FALSE)</f>
        <v>66.75</v>
      </c>
    </row>
    <row r="216" spans="1:38" ht="13.5">
      <c r="A216" s="32" t="s">
        <v>24</v>
      </c>
      <c r="B216" s="15">
        <f>VLOOKUP($A$213,'集計'!$A$4:$EP$61,5,FALSE)</f>
        <v>44</v>
      </c>
      <c r="C216" s="16">
        <f>VLOOKUP($A$213,'集計'!$A$4:$EP$61,9,FALSE)</f>
        <v>8.72</v>
      </c>
      <c r="D216" s="15">
        <f>VLOOKUP($A$213,'集計'!$A$4:$EP$61,13,FALSE)</f>
        <v>9</v>
      </c>
      <c r="E216" s="16">
        <f>VLOOKUP($A$213,'集計'!$A$4:$EP$61,17,FALSE)</f>
        <v>14.8</v>
      </c>
      <c r="F216" s="15">
        <f>VLOOKUP($A$213,'集計'!$A$4:$EP$61,21,FALSE)</f>
        <v>6</v>
      </c>
      <c r="G216" s="16">
        <f>VLOOKUP($A$213,'集計'!$A$4:$EP$61,25,FALSE)</f>
        <v>36.2</v>
      </c>
      <c r="H216" s="15">
        <f>VLOOKUP($A$213,'集計'!$A$4:$EP$61,29,FALSE)</f>
        <v>6</v>
      </c>
      <c r="I216" s="16">
        <f>VLOOKUP($A$213,'集計'!$A$4:$EP$61,33,FALSE)</f>
        <v>232</v>
      </c>
      <c r="J216" s="15">
        <f>VLOOKUP($A$213,'集計'!$A$4:$EP$61,37,FALSE)</f>
        <v>4</v>
      </c>
      <c r="K216" s="16">
        <f>VLOOKUP($A$213,'集計'!$A$4:$EP$61,41,FALSE)</f>
        <v>103.3</v>
      </c>
      <c r="L216" s="15">
        <f>VLOOKUP($A$213,'集計'!$A$4:$EP$61,45,FALSE)</f>
        <v>3</v>
      </c>
      <c r="M216" s="16">
        <f>VLOOKUP($A$213,'集計'!$A$4:$EP$61,49,FALSE)</f>
        <v>21.7</v>
      </c>
      <c r="N216" s="15">
        <f>VLOOKUP($A$213,'集計'!$A$4:$EP$61,53,FALSE)</f>
        <v>0</v>
      </c>
      <c r="O216" s="16">
        <f>VLOOKUP($A$213,'集計'!$A$4:$EP$61,57,FALSE)</f>
        <v>0</v>
      </c>
      <c r="P216" s="15">
        <f>VLOOKUP($A$213,'集計'!$A$4:$EP$61,61,FALSE)</f>
        <v>5</v>
      </c>
      <c r="Q216" s="16">
        <f>VLOOKUP($A$213,'集計'!$A$4:$EP$61,65,FALSE)</f>
        <v>656.4</v>
      </c>
      <c r="R216" s="15">
        <f>VLOOKUP($A$213,'集計'!$A$4:$EP$61,69,FALSE)</f>
        <v>77</v>
      </c>
      <c r="S216" s="16">
        <f>VLOOKUP($A$213,'集計'!$A$4:$EP$61,73,FALSE)</f>
        <v>1073.12</v>
      </c>
      <c r="T216" s="32" t="s">
        <v>24</v>
      </c>
      <c r="U216" s="15">
        <f>VLOOKUP($A$213,'集計'!$A$4:$EP$61,77,FALSE)</f>
        <v>43</v>
      </c>
      <c r="V216" s="16">
        <f>VLOOKUP($A$213,'集計'!$A$4:$EP$61,81,FALSE)</f>
        <v>8.65</v>
      </c>
      <c r="W216" s="15">
        <f>VLOOKUP($A$213,'集計'!$A$4:$EP$61,85,FALSE)</f>
        <v>6</v>
      </c>
      <c r="X216" s="16">
        <f>VLOOKUP($A$213,'集計'!$A$4:$EP$61,89,FALSE)</f>
        <v>10.4</v>
      </c>
      <c r="Y216" s="15">
        <f>VLOOKUP($A$213,'集計'!$A$4:$EP$61,93,FALSE)</f>
        <v>4</v>
      </c>
      <c r="Z216" s="16">
        <f>VLOOKUP($A$213,'集計'!$A$4:$EP$61,97,FALSE)</f>
        <v>21</v>
      </c>
      <c r="AA216" s="15">
        <f>VLOOKUP($A$213,'集計'!$A$4:$EP$61,101,FALSE)</f>
        <v>5</v>
      </c>
      <c r="AB216" s="16">
        <f>VLOOKUP($A$213,'集計'!$A$4:$EP$61,105,FALSE)</f>
        <v>135.2</v>
      </c>
      <c r="AC216" s="15">
        <f>VLOOKUP($A$213,'集計'!$A$4:$EP$61,109,FALSE)</f>
        <v>4</v>
      </c>
      <c r="AD216" s="16">
        <f>VLOOKUP($A$213,'集計'!$A$4:$EP$61,113,FALSE)</f>
        <v>75.3</v>
      </c>
      <c r="AE216" s="15">
        <f>VLOOKUP($A$213,'集計'!$A$4:$EP$61,117,FALSE)</f>
        <v>2</v>
      </c>
      <c r="AF216" s="16">
        <f>VLOOKUP($A$213,'集計'!$A$4:$EP$61,121,FALSE)</f>
        <v>21.3</v>
      </c>
      <c r="AG216" s="15">
        <f>VLOOKUP($A$213,'集計'!$A$4:$EP$61,125,FALSE)</f>
        <v>0</v>
      </c>
      <c r="AH216" s="16">
        <f>VLOOKUP($A$213,'集計'!$A$4:$EP$61,129,FALSE)</f>
        <v>0</v>
      </c>
      <c r="AI216" s="15">
        <f>VLOOKUP($A$213,'集計'!$A$4:$EP$61,133,FALSE)</f>
        <v>5</v>
      </c>
      <c r="AJ216" s="16">
        <f>VLOOKUP($A$213,'集計'!$A$4:$EP$61,137,FALSE)</f>
        <v>165.6</v>
      </c>
      <c r="AK216" s="15">
        <f>VLOOKUP($A$213,'集計'!$A$4:$EP$61,141,FALSE)</f>
        <v>69</v>
      </c>
      <c r="AL216" s="16">
        <f>VLOOKUP($A$213,'集計'!$A$4:$EP$61,145,FALSE)</f>
        <v>437.45</v>
      </c>
    </row>
    <row r="217" spans="1:38" ht="13.5">
      <c r="A217" s="32"/>
      <c r="B217" s="19"/>
      <c r="C217" s="20"/>
      <c r="D217" s="19"/>
      <c r="E217" s="20"/>
      <c r="F217" s="19"/>
      <c r="G217" s="20"/>
      <c r="H217" s="19"/>
      <c r="I217" s="20"/>
      <c r="J217" s="19"/>
      <c r="K217" s="20"/>
      <c r="L217" s="19"/>
      <c r="M217" s="20"/>
      <c r="N217" s="19"/>
      <c r="O217" s="20"/>
      <c r="P217" s="19"/>
      <c r="Q217" s="20"/>
      <c r="R217" s="19"/>
      <c r="S217" s="20"/>
      <c r="T217" s="32"/>
      <c r="U217" s="19"/>
      <c r="V217" s="20"/>
      <c r="W217" s="19"/>
      <c r="X217" s="20"/>
      <c r="Y217" s="19"/>
      <c r="Z217" s="20"/>
      <c r="AA217" s="19"/>
      <c r="AB217" s="20"/>
      <c r="AC217" s="19"/>
      <c r="AD217" s="20"/>
      <c r="AE217" s="19"/>
      <c r="AF217" s="20"/>
      <c r="AG217" s="19"/>
      <c r="AH217" s="20"/>
      <c r="AI217" s="19"/>
      <c r="AJ217" s="20"/>
      <c r="AK217" s="19"/>
      <c r="AL217" s="20"/>
    </row>
    <row r="218" spans="1:38" ht="13.5">
      <c r="A218" s="32" t="s">
        <v>64</v>
      </c>
      <c r="B218" s="15">
        <f>VLOOKUP($A$218,'集計'!$A$4:$EP$61,6,FALSE)</f>
        <v>1800</v>
      </c>
      <c r="C218" s="16">
        <f>VLOOKUP($A$218,'集計'!$A$4:$EP$61,10,FALSE)</f>
        <v>408.9</v>
      </c>
      <c r="D218" s="15">
        <f>VLOOKUP($A$218,'集計'!$A$4:$EP$61,14,FALSE)</f>
        <v>237</v>
      </c>
      <c r="E218" s="16">
        <f>VLOOKUP($A$218,'集計'!$A$4:$EP$61,18,FALSE)</f>
        <v>464.1</v>
      </c>
      <c r="F218" s="15">
        <f>VLOOKUP($A$218,'集計'!$A$4:$EP$61,22,FALSE)</f>
        <v>32</v>
      </c>
      <c r="G218" s="16">
        <f>VLOOKUP($A$218,'集計'!$A$4:$EP$61,26,FALSE)</f>
        <v>173.5</v>
      </c>
      <c r="H218" s="15">
        <f>VLOOKUP($A$218,'集計'!$A$4:$EP$61,30,FALSE)</f>
        <v>42</v>
      </c>
      <c r="I218" s="16">
        <f>VLOOKUP($A$218,'集計'!$A$4:$EP$61,34,FALSE)</f>
        <v>1073.9</v>
      </c>
      <c r="J218" s="15">
        <f>VLOOKUP($A$218,'集計'!$A$4:$EP$61,38,FALSE)</f>
        <v>16</v>
      </c>
      <c r="K218" s="16">
        <f>VLOOKUP($A$218,'集計'!$A$4:$EP$61,42,FALSE)</f>
        <v>312</v>
      </c>
      <c r="L218" s="15">
        <f>VLOOKUP($A$218,'集計'!$A$4:$EP$61,46,FALSE)</f>
        <v>21</v>
      </c>
      <c r="M218" s="16">
        <f>VLOOKUP($A$218,'集計'!$A$4:$EP$61,50,FALSE)</f>
        <v>611.7</v>
      </c>
      <c r="N218" s="15">
        <f>VLOOKUP($A$218,'集計'!$A$4:$EP$61,54,FALSE)</f>
        <v>9</v>
      </c>
      <c r="O218" s="16">
        <f>VLOOKUP($A$218,'集計'!$A$4:$EP$61,58,FALSE)</f>
        <v>51.4</v>
      </c>
      <c r="P218" s="15">
        <f>VLOOKUP($A$218,'集計'!$A$4:$EP$61,62,FALSE)</f>
        <v>7</v>
      </c>
      <c r="Q218" s="16">
        <f>VLOOKUP($A$218,'集計'!$A$4:$EP$61,66,FALSE)</f>
        <v>1105.5</v>
      </c>
      <c r="R218" s="15">
        <f>VLOOKUP($A$218,'集計'!$A$4:$EP$61,70,FALSE)</f>
        <v>2164</v>
      </c>
      <c r="S218" s="16">
        <f>VLOOKUP($A$218,'集計'!$A$4:$EP$61,74,FALSE)</f>
        <v>4201</v>
      </c>
      <c r="T218" s="32" t="s">
        <v>64</v>
      </c>
      <c r="U218" s="15">
        <f>VLOOKUP($A$218,'集計'!$A$4:$EP$61,78,FALSE)</f>
        <v>1744</v>
      </c>
      <c r="V218" s="16">
        <f>VLOOKUP($A$218,'集計'!$A$4:$EP$61,82,FALSE)</f>
        <v>383.79</v>
      </c>
      <c r="W218" s="15">
        <f>VLOOKUP($A$218,'集計'!$A$4:$EP$61,86,FALSE)</f>
        <v>220</v>
      </c>
      <c r="X218" s="16">
        <f>VLOOKUP($A$218,'集計'!$A$4:$EP$61,90,FALSE)</f>
        <v>407.1</v>
      </c>
      <c r="Y218" s="15">
        <f>VLOOKUP($A$218,'集計'!$A$4:$EP$61,94,FALSE)</f>
        <v>31</v>
      </c>
      <c r="Z218" s="16">
        <f>VLOOKUP($A$218,'集計'!$A$4:$EP$61,98,FALSE)</f>
        <v>147.5</v>
      </c>
      <c r="AA218" s="15">
        <f>VLOOKUP($A$218,'集計'!$A$4:$EP$61,102,FALSE)</f>
        <v>40</v>
      </c>
      <c r="AB218" s="16">
        <f>VLOOKUP($A$218,'集計'!$A$4:$EP$61,106,FALSE)</f>
        <v>900.4</v>
      </c>
      <c r="AC218" s="15">
        <f>VLOOKUP($A$218,'集計'!$A$4:$EP$61,110,FALSE)</f>
        <v>14</v>
      </c>
      <c r="AD218" s="16">
        <f>VLOOKUP($A$218,'集計'!$A$4:$EP$61,114,FALSE)</f>
        <v>236.5</v>
      </c>
      <c r="AE218" s="15">
        <f>VLOOKUP($A$218,'集計'!$A$4:$EP$61,118,FALSE)</f>
        <v>21</v>
      </c>
      <c r="AF218" s="16">
        <f>VLOOKUP($A$218,'集計'!$A$4:$EP$61,122,FALSE)</f>
        <v>381.9</v>
      </c>
      <c r="AG218" s="15">
        <f>VLOOKUP($A$218,'集計'!$A$4:$EP$61,126,FALSE)</f>
        <v>6</v>
      </c>
      <c r="AH218" s="16">
        <f>VLOOKUP($A$218,'集計'!$A$4:$EP$61,130,FALSE)</f>
        <v>24.8</v>
      </c>
      <c r="AI218" s="15">
        <f>VLOOKUP($A$218,'集計'!$A$4:$EP$61,134,FALSE)</f>
        <v>7</v>
      </c>
      <c r="AJ218" s="16">
        <f>VLOOKUP($A$218,'集計'!$A$4:$EP$61,138,FALSE)</f>
        <v>513.9</v>
      </c>
      <c r="AK218" s="15">
        <f>VLOOKUP($A$218,'集計'!$A$4:$EP$61,142,FALSE)</f>
        <v>2083</v>
      </c>
      <c r="AL218" s="16">
        <f>VLOOKUP($A$218,'集計'!$A$4:$EP$61,146,FALSE)</f>
        <v>2995.89</v>
      </c>
    </row>
    <row r="219" spans="1:38" ht="13.5">
      <c r="A219" s="32" t="s">
        <v>22</v>
      </c>
      <c r="B219" s="15">
        <f>VLOOKUP($A$218,'集計'!$A$4:$EP$61,3,FALSE)</f>
        <v>1442</v>
      </c>
      <c r="C219" s="16">
        <f>VLOOKUP($A$218,'集計'!$A$4:$EP$61,7,FALSE)</f>
        <v>314.19</v>
      </c>
      <c r="D219" s="15">
        <f>VLOOKUP($A$218,'集計'!$A$4:$EP$61,11,FALSE)</f>
        <v>153</v>
      </c>
      <c r="E219" s="16">
        <f>VLOOKUP($A$218,'集計'!$A$4:$EP$61,15,FALSE)</f>
        <v>290.7</v>
      </c>
      <c r="F219" s="15">
        <f>VLOOKUP($A$218,'集計'!$A$4:$EP$61,19,FALSE)</f>
        <v>12</v>
      </c>
      <c r="G219" s="16">
        <f>VLOOKUP($A$218,'集計'!$A$4:$EP$61,23,FALSE)</f>
        <v>61.8</v>
      </c>
      <c r="H219" s="15">
        <f>VLOOKUP($A$218,'集計'!$A$4:$EP$61,27,FALSE)</f>
        <v>19</v>
      </c>
      <c r="I219" s="16">
        <f>VLOOKUP($A$218,'集計'!$A$4:$EP$61,31,FALSE)</f>
        <v>460.9</v>
      </c>
      <c r="J219" s="15">
        <f>VLOOKUP($A$218,'集計'!$A$4:$EP$61,35,FALSE)</f>
        <v>5</v>
      </c>
      <c r="K219" s="16">
        <f>VLOOKUP($A$218,'集計'!$A$4:$EP$61,39,FALSE)</f>
        <v>87.6</v>
      </c>
      <c r="L219" s="15">
        <f>VLOOKUP($A$218,'集計'!$A$4:$EP$61,43,FALSE)</f>
        <v>7</v>
      </c>
      <c r="M219" s="16">
        <f>VLOOKUP($A$218,'集計'!$A$4:$EP$61,47,FALSE)</f>
        <v>197.7</v>
      </c>
      <c r="N219" s="15">
        <f>VLOOKUP($A$218,'集計'!$A$4:$EP$61,51,FALSE)</f>
        <v>4</v>
      </c>
      <c r="O219" s="16">
        <f>VLOOKUP($A$218,'集計'!$A$4:$EP$61,55,FALSE)</f>
        <v>25.7</v>
      </c>
      <c r="P219" s="15">
        <f>VLOOKUP($A$218,'集計'!$A$4:$EP$61,59,FALSE)</f>
        <v>0</v>
      </c>
      <c r="Q219" s="16">
        <f>VLOOKUP($A$218,'集計'!$A$4:$EP$61,63,FALSE)</f>
        <v>0</v>
      </c>
      <c r="R219" s="15">
        <f>VLOOKUP($A$218,'集計'!$A$4:$EP$61,67,FALSE)</f>
        <v>1642</v>
      </c>
      <c r="S219" s="16">
        <f>VLOOKUP($A$218,'集計'!$A$4:$EP$61,71,FALSE)</f>
        <v>1438.59</v>
      </c>
      <c r="T219" s="32" t="s">
        <v>22</v>
      </c>
      <c r="U219" s="15">
        <f>VLOOKUP($A$218,'集計'!$A$4:$EP$61,75,FALSE)</f>
        <v>1398</v>
      </c>
      <c r="V219" s="16">
        <f>VLOOKUP($A$218,'集計'!$A$4:$EP$61,79,FALSE)</f>
        <v>291.99</v>
      </c>
      <c r="W219" s="15">
        <f>VLOOKUP($A$218,'集計'!$A$4:$EP$61,83,FALSE)</f>
        <v>145</v>
      </c>
      <c r="X219" s="16">
        <f>VLOOKUP($A$218,'集計'!$A$4:$EP$61,87,FALSE)</f>
        <v>256.9</v>
      </c>
      <c r="Y219" s="15">
        <f>VLOOKUP($A$218,'集計'!$A$4:$EP$61,91,FALSE)</f>
        <v>12</v>
      </c>
      <c r="Z219" s="16">
        <f>VLOOKUP($A$218,'集計'!$A$4:$EP$61,95,FALSE)</f>
        <v>55.6</v>
      </c>
      <c r="AA219" s="15">
        <f>VLOOKUP($A$218,'集計'!$A$4:$EP$61,99,FALSE)</f>
        <v>18</v>
      </c>
      <c r="AB219" s="16">
        <f>VLOOKUP($A$218,'集計'!$A$4:$EP$61,103,FALSE)</f>
        <v>387</v>
      </c>
      <c r="AC219" s="15">
        <f>VLOOKUP($A$218,'集計'!$A$4:$EP$61,107,FALSE)</f>
        <v>5</v>
      </c>
      <c r="AD219" s="16">
        <f>VLOOKUP($A$218,'集計'!$A$4:$EP$61,111,FALSE)</f>
        <v>71.6</v>
      </c>
      <c r="AE219" s="15">
        <f>VLOOKUP($A$218,'集計'!$A$4:$EP$61,115,FALSE)</f>
        <v>7</v>
      </c>
      <c r="AF219" s="16">
        <f>VLOOKUP($A$218,'集計'!$A$4:$EP$61,119,FALSE)</f>
        <v>101.7</v>
      </c>
      <c r="AG219" s="15">
        <f>VLOOKUP($A$218,'集計'!$A$4:$EP$61,123,FALSE)</f>
        <v>2</v>
      </c>
      <c r="AH219" s="16">
        <f>VLOOKUP($A$218,'集計'!$A$4:$EP$61,127,FALSE)</f>
        <v>3.3</v>
      </c>
      <c r="AI219" s="15">
        <f>VLOOKUP($A$218,'集計'!$A$4:$EP$61,131,FALSE)</f>
        <v>0</v>
      </c>
      <c r="AJ219" s="16">
        <f>VLOOKUP($A$218,'集計'!$A$4:$EP$61,135,FALSE)</f>
        <v>0</v>
      </c>
      <c r="AK219" s="15">
        <f>VLOOKUP($A$218,'集計'!$A$4:$EP$61,139,FALSE)</f>
        <v>1587</v>
      </c>
      <c r="AL219" s="16">
        <f>VLOOKUP($A$218,'集計'!$A$4:$EP$61,143,FALSE)</f>
        <v>1168.09</v>
      </c>
    </row>
    <row r="220" spans="1:38" ht="13.5">
      <c r="A220" s="32" t="s">
        <v>23</v>
      </c>
      <c r="B220" s="15">
        <f>VLOOKUP($A$218,'集計'!$A$4:$EP$61,4,FALSE)</f>
        <v>277</v>
      </c>
      <c r="C220" s="16">
        <f>VLOOKUP($A$218,'集計'!$A$4:$EP$61,8,FALSE)</f>
        <v>66.47</v>
      </c>
      <c r="D220" s="15">
        <f>VLOOKUP($A$218,'集計'!$A$4:$EP$61,(12),FALSE)</f>
        <v>60</v>
      </c>
      <c r="E220" s="16">
        <f>VLOOKUP($A$218,'集計'!$A$4:$EP$61,16,FALSE)</f>
        <v>122</v>
      </c>
      <c r="F220" s="15">
        <f>VLOOKUP($A$218,'集計'!$A$4:$EP$61,20,FALSE)</f>
        <v>10</v>
      </c>
      <c r="G220" s="16">
        <f>VLOOKUP($A$218,'集計'!$A$4:$EP$61,24,FALSE)</f>
        <v>55</v>
      </c>
      <c r="H220" s="15">
        <f>VLOOKUP($A$218,'集計'!$A$4:$EP$61,28,FALSE)</f>
        <v>9</v>
      </c>
      <c r="I220" s="16">
        <f>VLOOKUP($A$218,'集計'!$A$4:$EP$61,32,FALSE)</f>
        <v>160.9</v>
      </c>
      <c r="J220" s="15">
        <f>VLOOKUP($A$218,'集計'!$A$4:$EP$61,36,FALSE)</f>
        <v>5</v>
      </c>
      <c r="K220" s="16">
        <f>VLOOKUP($A$218,'集計'!$A$4:$EP$61,40,FALSE)</f>
        <v>100.8</v>
      </c>
      <c r="L220" s="15">
        <f>VLOOKUP($A$218,'集計'!$A$4:$EP$61,44,FALSE)</f>
        <v>2</v>
      </c>
      <c r="M220" s="16">
        <f>VLOOKUP($A$218,'集計'!$A$4:$EP$61,48,FALSE)</f>
        <v>35.5</v>
      </c>
      <c r="N220" s="15">
        <f>VLOOKUP($A$218,'集計'!$A$4:$EP$61,52,FALSE)</f>
        <v>0</v>
      </c>
      <c r="O220" s="16">
        <f>VLOOKUP($A$218,'集計'!$A$4:$EP$61,56,FALSE)</f>
        <v>0</v>
      </c>
      <c r="P220" s="15">
        <f>VLOOKUP($A$218,'集計'!$A$4:$EP$61,60,FALSE)</f>
        <v>1</v>
      </c>
      <c r="Q220" s="16">
        <f>VLOOKUP($A$218,'集計'!$A$4:$EP$61,64,FALSE)</f>
        <v>2.5</v>
      </c>
      <c r="R220" s="15">
        <f>VLOOKUP($A$218,'集計'!$A$4:$EP$61,68,FALSE)</f>
        <v>364</v>
      </c>
      <c r="S220" s="16">
        <f>VLOOKUP($A$218,'集計'!$A$4:$EP$61,72,FALSE)</f>
        <v>543.17</v>
      </c>
      <c r="T220" s="32" t="s">
        <v>23</v>
      </c>
      <c r="U220" s="15">
        <f>VLOOKUP($A$218,'集計'!$A$4:$EP$61,76,FALSE)</f>
        <v>270</v>
      </c>
      <c r="V220" s="16">
        <f>VLOOKUP($A$218,'集計'!$A$4:$EP$61,80,FALSE)</f>
        <v>64.68</v>
      </c>
      <c r="W220" s="15">
        <f>VLOOKUP($A$218,'集計'!$A$4:$EP$61,84,FALSE)</f>
        <v>52</v>
      </c>
      <c r="X220" s="16">
        <f>VLOOKUP($A$218,'集計'!$A$4:$EP$61,88,FALSE)</f>
        <v>99.9</v>
      </c>
      <c r="Y220" s="15">
        <f>VLOOKUP($A$218,'集計'!$A$4:$EP$61,92,FALSE)</f>
        <v>10</v>
      </c>
      <c r="Z220" s="16">
        <f>VLOOKUP($A$218,'集計'!$A$4:$EP$61,96,FALSE)</f>
        <v>46.8</v>
      </c>
      <c r="AA220" s="15">
        <f>VLOOKUP($A$218,'集計'!$A$4:$EP$61,100,FALSE)</f>
        <v>8</v>
      </c>
      <c r="AB220" s="16">
        <f>VLOOKUP($A$218,'集計'!$A$4:$EP$61,104,FALSE)</f>
        <v>134.8</v>
      </c>
      <c r="AC220" s="15">
        <f>VLOOKUP($A$218,'集計'!$A$4:$EP$61,108,FALSE)</f>
        <v>5</v>
      </c>
      <c r="AD220" s="16">
        <f>VLOOKUP($A$218,'集計'!$A$4:$EP$61,112,FALSE)</f>
        <v>97.1</v>
      </c>
      <c r="AE220" s="15">
        <f>VLOOKUP($A$218,'集計'!$A$4:$EP$61,116,FALSE)</f>
        <v>2</v>
      </c>
      <c r="AF220" s="16">
        <f>VLOOKUP($A$218,'集計'!$A$4:$EP$61,120,FALSE)</f>
        <v>21.8</v>
      </c>
      <c r="AG220" s="15">
        <f>VLOOKUP($A$218,'集計'!$A$4:$EP$61,124,FALSE)</f>
        <v>0</v>
      </c>
      <c r="AH220" s="16">
        <f>VLOOKUP($A$218,'集計'!$A$4:$EP$61,128,FALSE)</f>
        <v>0</v>
      </c>
      <c r="AI220" s="15">
        <f>VLOOKUP($A$218,'集計'!$A$4:$EP$61,132,FALSE)</f>
        <v>1</v>
      </c>
      <c r="AJ220" s="16">
        <f>VLOOKUP($A$218,'集計'!$A$4:$EP$61,136,FALSE)</f>
        <v>2.5</v>
      </c>
      <c r="AK220" s="15">
        <f>VLOOKUP($A$218,'集計'!$A$4:$EP$61,140,FALSE)</f>
        <v>348</v>
      </c>
      <c r="AL220" s="16">
        <f>VLOOKUP($A$218,'集計'!$A$4:$EP$61,144,FALSE)</f>
        <v>467.58</v>
      </c>
    </row>
    <row r="221" spans="1:38" ht="13.5">
      <c r="A221" s="32" t="s">
        <v>24</v>
      </c>
      <c r="B221" s="15">
        <f>VLOOKUP($A$218,'集計'!$A$4:$EP$61,5,FALSE)</f>
        <v>81</v>
      </c>
      <c r="C221" s="16">
        <f>VLOOKUP($A$218,'集計'!$A$4:$EP$61,9,FALSE)</f>
        <v>28.24</v>
      </c>
      <c r="D221" s="15">
        <f>VLOOKUP($A$218,'集計'!$A$4:$EP$61,13,FALSE)</f>
        <v>24</v>
      </c>
      <c r="E221" s="16">
        <f>VLOOKUP($A$218,'集計'!$A$4:$EP$61,17,FALSE)</f>
        <v>51.4</v>
      </c>
      <c r="F221" s="15">
        <f>VLOOKUP($A$218,'集計'!$A$4:$EP$61,21,FALSE)</f>
        <v>10</v>
      </c>
      <c r="G221" s="16">
        <f>VLOOKUP($A$218,'集計'!$A$4:$EP$61,25,FALSE)</f>
        <v>56.7</v>
      </c>
      <c r="H221" s="15">
        <f>VLOOKUP($A$218,'集計'!$A$4:$EP$61,29,FALSE)</f>
        <v>14</v>
      </c>
      <c r="I221" s="16">
        <f>VLOOKUP($A$218,'集計'!$A$4:$EP$61,33,FALSE)</f>
        <v>452.1</v>
      </c>
      <c r="J221" s="15">
        <f>VLOOKUP($A$218,'集計'!$A$4:$EP$61,37,FALSE)</f>
        <v>6</v>
      </c>
      <c r="K221" s="16">
        <f>VLOOKUP($A$218,'集計'!$A$4:$EP$61,41,FALSE)</f>
        <v>123.6</v>
      </c>
      <c r="L221" s="15">
        <f>VLOOKUP($A$218,'集計'!$A$4:$EP$61,45,FALSE)</f>
        <v>12</v>
      </c>
      <c r="M221" s="16">
        <f>VLOOKUP($A$218,'集計'!$A$4:$EP$61,49,FALSE)</f>
        <v>378.5</v>
      </c>
      <c r="N221" s="15">
        <f>VLOOKUP($A$218,'集計'!$A$4:$EP$61,53,FALSE)</f>
        <v>5</v>
      </c>
      <c r="O221" s="16">
        <f>VLOOKUP($A$218,'集計'!$A$4:$EP$61,57,FALSE)</f>
        <v>25.7</v>
      </c>
      <c r="P221" s="15">
        <f>VLOOKUP($A$218,'集計'!$A$4:$EP$61,61,FALSE)</f>
        <v>6</v>
      </c>
      <c r="Q221" s="16">
        <f>VLOOKUP($A$218,'集計'!$A$4:$EP$61,65,FALSE)</f>
        <v>1103</v>
      </c>
      <c r="R221" s="15">
        <f>VLOOKUP($A$218,'集計'!$A$4:$EP$61,69,FALSE)</f>
        <v>158</v>
      </c>
      <c r="S221" s="16">
        <f>VLOOKUP($A$218,'集計'!$A$4:$EP$61,73,FALSE)</f>
        <v>2219.24</v>
      </c>
      <c r="T221" s="32" t="s">
        <v>24</v>
      </c>
      <c r="U221" s="15">
        <f>VLOOKUP($A$218,'集計'!$A$4:$EP$61,77,FALSE)</f>
        <v>76</v>
      </c>
      <c r="V221" s="16">
        <f>VLOOKUP($A$218,'集計'!$A$4:$EP$61,81,FALSE)</f>
        <v>27.12</v>
      </c>
      <c r="W221" s="15">
        <f>VLOOKUP($A$218,'集計'!$A$4:$EP$61,85,FALSE)</f>
        <v>23</v>
      </c>
      <c r="X221" s="16">
        <f>VLOOKUP($A$218,'集計'!$A$4:$EP$61,89,FALSE)</f>
        <v>50.3</v>
      </c>
      <c r="Y221" s="15">
        <f>VLOOKUP($A$218,'集計'!$A$4:$EP$61,93,FALSE)</f>
        <v>9</v>
      </c>
      <c r="Z221" s="16">
        <f>VLOOKUP($A$218,'集計'!$A$4:$EP$61,97,FALSE)</f>
        <v>45.1</v>
      </c>
      <c r="AA221" s="15">
        <f>VLOOKUP($A$218,'集計'!$A$4:$EP$61,101,FALSE)</f>
        <v>14</v>
      </c>
      <c r="AB221" s="16">
        <f>VLOOKUP($A$218,'集計'!$A$4:$EP$61,105,FALSE)</f>
        <v>378.6</v>
      </c>
      <c r="AC221" s="15">
        <f>VLOOKUP($A$218,'集計'!$A$4:$EP$61,109,FALSE)</f>
        <v>4</v>
      </c>
      <c r="AD221" s="16">
        <f>VLOOKUP($A$218,'集計'!$A$4:$EP$61,113,FALSE)</f>
        <v>67.8</v>
      </c>
      <c r="AE221" s="15">
        <f>VLOOKUP($A$218,'集計'!$A$4:$EP$61,117,FALSE)</f>
        <v>12</v>
      </c>
      <c r="AF221" s="16">
        <f>VLOOKUP($A$218,'集計'!$A$4:$EP$61,121,FALSE)</f>
        <v>258.4</v>
      </c>
      <c r="AG221" s="15">
        <f>VLOOKUP($A$218,'集計'!$A$4:$EP$61,125,FALSE)</f>
        <v>4</v>
      </c>
      <c r="AH221" s="16">
        <f>VLOOKUP($A$218,'集計'!$A$4:$EP$61,129,FALSE)</f>
        <v>21.5</v>
      </c>
      <c r="AI221" s="15">
        <f>VLOOKUP($A$218,'集計'!$A$4:$EP$61,133,FALSE)</f>
        <v>6</v>
      </c>
      <c r="AJ221" s="16">
        <f>VLOOKUP($A$218,'集計'!$A$4:$EP$61,137,FALSE)</f>
        <v>511.4</v>
      </c>
      <c r="AK221" s="15">
        <f>VLOOKUP($A$218,'集計'!$A$4:$EP$61,141,FALSE)</f>
        <v>148</v>
      </c>
      <c r="AL221" s="16">
        <f>VLOOKUP($A$218,'集計'!$A$4:$EP$61,145,FALSE)</f>
        <v>1360.22</v>
      </c>
    </row>
    <row r="222" spans="1:38" ht="13.5" collapsed="1">
      <c r="A222" s="32" t="s">
        <v>65</v>
      </c>
      <c r="B222" s="15">
        <f>VLOOKUP($A$222,'集計'!$A$4:$EP$61,6,FALSE)</f>
        <v>101</v>
      </c>
      <c r="C222" s="16">
        <f>VLOOKUP($A$222,'集計'!$A$4:$EP$61,10,FALSE)</f>
        <v>24.11</v>
      </c>
      <c r="D222" s="15">
        <f>VLOOKUP($A$222,'集計'!$A$4:$EP$61,14,FALSE)</f>
        <v>27</v>
      </c>
      <c r="E222" s="16">
        <f>VLOOKUP($A$222,'集計'!$A$4:$EP$61,18,FALSE)</f>
        <v>58.4</v>
      </c>
      <c r="F222" s="15">
        <f>VLOOKUP($A$222,'集計'!$A$4:$EP$61,22,FALSE)</f>
        <v>16</v>
      </c>
      <c r="G222" s="16">
        <f>VLOOKUP($A$222,'集計'!$A$4:$EP$61,26,FALSE)</f>
        <v>94.2</v>
      </c>
      <c r="H222" s="15">
        <f>VLOOKUP($A$222,'集計'!$A$4:$EP$61,30,FALSE)</f>
        <v>11</v>
      </c>
      <c r="I222" s="16">
        <f>VLOOKUP($A$222,'集計'!$A$4:$EP$61,34,FALSE)</f>
        <v>331.8</v>
      </c>
      <c r="J222" s="15">
        <f>VLOOKUP($A$222,'集計'!$A$4:$EP$61,38,FALSE)</f>
        <v>5</v>
      </c>
      <c r="K222" s="16">
        <f>VLOOKUP($A$222,'集計'!$A$4:$EP$61,42,FALSE)</f>
        <v>115.8</v>
      </c>
      <c r="L222" s="15">
        <f>VLOOKUP($A$222,'集計'!$A$4:$EP$61,46,FALSE)</f>
        <v>6</v>
      </c>
      <c r="M222" s="16">
        <f>VLOOKUP($A$222,'集計'!$A$4:$EP$61,50,FALSE)</f>
        <v>95.4</v>
      </c>
      <c r="N222" s="15">
        <f>VLOOKUP($A$222,'集計'!$A$4:$EP$61,54,FALSE)</f>
        <v>1</v>
      </c>
      <c r="O222" s="16">
        <f>VLOOKUP($A$222,'集計'!$A$4:$EP$61,58,FALSE)</f>
        <v>0.4</v>
      </c>
      <c r="P222" s="15">
        <f>VLOOKUP($A$222,'集計'!$A$4:$EP$61,62,FALSE)</f>
        <v>2</v>
      </c>
      <c r="Q222" s="16">
        <f>VLOOKUP($A$222,'集計'!$A$4:$EP$61,66,FALSE)</f>
        <v>169.7</v>
      </c>
      <c r="R222" s="15">
        <f>VLOOKUP($A$222,'集計'!$A$4:$EP$61,70,FALSE)</f>
        <v>169</v>
      </c>
      <c r="S222" s="16">
        <f>VLOOKUP($A$222,'集計'!$A$4:$EP$61,74,FALSE)</f>
        <v>889.81</v>
      </c>
      <c r="T222" s="32" t="s">
        <v>65</v>
      </c>
      <c r="U222" s="15">
        <f>VLOOKUP($A$222,'集計'!$A$4:$EP$61,78,FALSE)</f>
        <v>98</v>
      </c>
      <c r="V222" s="16">
        <f>VLOOKUP($A$222,'集計'!$A$4:$EP$61,82,FALSE)</f>
        <v>23.21</v>
      </c>
      <c r="W222" s="15">
        <f>VLOOKUP($A$222,'集計'!$A$4:$EP$61,86,FALSE)</f>
        <v>26</v>
      </c>
      <c r="X222" s="16">
        <f>VLOOKUP($A$222,'集計'!$A$4:$EP$61,90,FALSE)</f>
        <v>49.8</v>
      </c>
      <c r="Y222" s="15">
        <f>VLOOKUP($A$222,'集計'!$A$4:$EP$61,94,FALSE)</f>
        <v>16</v>
      </c>
      <c r="Z222" s="16">
        <f>VLOOKUP($A$222,'集計'!$A$4:$EP$61,98,FALSE)</f>
        <v>93.1</v>
      </c>
      <c r="AA222" s="15">
        <f>VLOOKUP($A$222,'集計'!$A$4:$EP$61,102,FALSE)</f>
        <v>11</v>
      </c>
      <c r="AB222" s="16">
        <f>VLOOKUP($A$222,'集計'!$A$4:$EP$61,106,FALSE)</f>
        <v>235.6</v>
      </c>
      <c r="AC222" s="15">
        <f>VLOOKUP($A$222,'集計'!$A$4:$EP$61,110,FALSE)</f>
        <v>5</v>
      </c>
      <c r="AD222" s="16">
        <f>VLOOKUP($A$222,'集計'!$A$4:$EP$61,114,FALSE)</f>
        <v>111.7</v>
      </c>
      <c r="AE222" s="15">
        <f>VLOOKUP($A$222,'集計'!$A$4:$EP$61,118,FALSE)</f>
        <v>5</v>
      </c>
      <c r="AF222" s="16">
        <f>VLOOKUP($A$222,'集計'!$A$4:$EP$61,122,FALSE)</f>
        <v>52.4</v>
      </c>
      <c r="AG222" s="15">
        <f>VLOOKUP($A$222,'集計'!$A$4:$EP$61,126,FALSE)</f>
        <v>1</v>
      </c>
      <c r="AH222" s="16">
        <f>VLOOKUP($A$222,'集計'!$A$4:$EP$61,130,FALSE)</f>
        <v>0.4</v>
      </c>
      <c r="AI222" s="15">
        <f>VLOOKUP($A$222,'集計'!$A$4:$EP$61,134,FALSE)</f>
        <v>2</v>
      </c>
      <c r="AJ222" s="16">
        <f>VLOOKUP($A$222,'集計'!$A$4:$EP$61,138,FALSE)</f>
        <v>115.3</v>
      </c>
      <c r="AK222" s="15">
        <f>VLOOKUP($A$222,'集計'!$A$4:$EP$61,142,FALSE)</f>
        <v>164</v>
      </c>
      <c r="AL222" s="16">
        <f>VLOOKUP($A$222,'集計'!$A$4:$EP$61,146,FALSE)</f>
        <v>681.51</v>
      </c>
    </row>
    <row r="223" spans="1:38" ht="13.5">
      <c r="A223" s="32" t="s">
        <v>22</v>
      </c>
      <c r="B223" s="15">
        <f>VLOOKUP($A$222,'集計'!$A$4:$EP$61,3,FALSE)</f>
        <v>62</v>
      </c>
      <c r="C223" s="16">
        <f>VLOOKUP($A$222,'集計'!$A$4:$EP$61,7,FALSE)</f>
        <v>13.88</v>
      </c>
      <c r="D223" s="15">
        <f>VLOOKUP($A$222,'集計'!$A$4:$EP$61,11,FALSE)</f>
        <v>7</v>
      </c>
      <c r="E223" s="16">
        <f>VLOOKUP($A$222,'集計'!$A$4:$EP$61,15,FALSE)</f>
        <v>12.3</v>
      </c>
      <c r="F223" s="15">
        <f>VLOOKUP($A$222,'集計'!$A$4:$EP$61,19,FALSE)</f>
        <v>2</v>
      </c>
      <c r="G223" s="16">
        <f>VLOOKUP($A$222,'集計'!$A$4:$EP$61,23,FALSE)</f>
        <v>7.7</v>
      </c>
      <c r="H223" s="15">
        <f>VLOOKUP($A$222,'集計'!$A$4:$EP$61,27,FALSE)</f>
        <v>3</v>
      </c>
      <c r="I223" s="16">
        <f>VLOOKUP($A$222,'集計'!$A$4:$EP$61,31,FALSE)</f>
        <v>69.8</v>
      </c>
      <c r="J223" s="15">
        <f>VLOOKUP($A$222,'集計'!$A$4:$EP$61,35,FALSE)</f>
        <v>1</v>
      </c>
      <c r="K223" s="16">
        <f>VLOOKUP($A$222,'集計'!$A$4:$EP$61,39,FALSE)</f>
        <v>13.4</v>
      </c>
      <c r="L223" s="15">
        <f>VLOOKUP($A$222,'集計'!$A$4:$EP$61,43,FALSE)</f>
        <v>2</v>
      </c>
      <c r="M223" s="16">
        <f>VLOOKUP($A$222,'集計'!$A$4:$EP$61,47,FALSE)</f>
        <v>26.4</v>
      </c>
      <c r="N223" s="15">
        <f>VLOOKUP($A$222,'集計'!$A$4:$EP$61,51,FALSE)</f>
        <v>1</v>
      </c>
      <c r="O223" s="16">
        <f>VLOOKUP($A$222,'集計'!$A$4:$EP$61,55,FALSE)</f>
        <v>0.4</v>
      </c>
      <c r="P223" s="15">
        <f>VLOOKUP($A$222,'集計'!$A$4:$EP$61,59,FALSE)</f>
        <v>0</v>
      </c>
      <c r="Q223" s="16">
        <f>VLOOKUP($A$222,'集計'!$A$4:$EP$61,63,FALSE)</f>
        <v>0</v>
      </c>
      <c r="R223" s="15">
        <f>VLOOKUP($A$222,'集計'!$A$4:$EP$61,67,FALSE)</f>
        <v>78</v>
      </c>
      <c r="S223" s="16">
        <f>VLOOKUP($A$222,'集計'!$A$4:$EP$61,71,FALSE)</f>
        <v>143.88</v>
      </c>
      <c r="T223" s="32" t="s">
        <v>22</v>
      </c>
      <c r="U223" s="15">
        <f>VLOOKUP($A$222,'集計'!$A$4:$EP$61,75,FALSE)</f>
        <v>60</v>
      </c>
      <c r="V223" s="16">
        <f>VLOOKUP($A$222,'集計'!$A$4:$EP$61,79,FALSE)</f>
        <v>13.05</v>
      </c>
      <c r="W223" s="15">
        <f>VLOOKUP($A$222,'集計'!$A$4:$EP$61,83,FALSE)</f>
        <v>7</v>
      </c>
      <c r="X223" s="16">
        <f>VLOOKUP($A$222,'集計'!$A$4:$EP$61,87,FALSE)</f>
        <v>9.6</v>
      </c>
      <c r="Y223" s="15">
        <f>VLOOKUP($A$222,'集計'!$A$4:$EP$61,91,FALSE)</f>
        <v>2</v>
      </c>
      <c r="Z223" s="16">
        <f>VLOOKUP($A$222,'集計'!$A$4:$EP$61,95,FALSE)</f>
        <v>7.5</v>
      </c>
      <c r="AA223" s="15">
        <f>VLOOKUP($A$222,'集計'!$A$4:$EP$61,99,FALSE)</f>
        <v>3</v>
      </c>
      <c r="AB223" s="16">
        <f>VLOOKUP($A$222,'集計'!$A$4:$EP$61,103,FALSE)</f>
        <v>65.2</v>
      </c>
      <c r="AC223" s="15">
        <f>VLOOKUP($A$222,'集計'!$A$4:$EP$61,107,FALSE)</f>
        <v>1</v>
      </c>
      <c r="AD223" s="16">
        <f>VLOOKUP($A$222,'集計'!$A$4:$EP$61,111,FALSE)</f>
        <v>11.1</v>
      </c>
      <c r="AE223" s="15">
        <f>VLOOKUP($A$222,'集計'!$A$4:$EP$61,115,FALSE)</f>
        <v>2</v>
      </c>
      <c r="AF223" s="16">
        <f>VLOOKUP($A$222,'集計'!$A$4:$EP$61,119,FALSE)</f>
        <v>9.2</v>
      </c>
      <c r="AG223" s="15">
        <f>VLOOKUP($A$222,'集計'!$A$4:$EP$61,123,FALSE)</f>
        <v>1</v>
      </c>
      <c r="AH223" s="16">
        <f>VLOOKUP($A$222,'集計'!$A$4:$EP$61,127,FALSE)</f>
        <v>0.4</v>
      </c>
      <c r="AI223" s="15">
        <f>VLOOKUP($A$222,'集計'!$A$4:$EP$61,131,FALSE)</f>
        <v>0</v>
      </c>
      <c r="AJ223" s="16">
        <f>VLOOKUP($A$222,'集計'!$A$4:$EP$61,135,FALSE)</f>
        <v>0</v>
      </c>
      <c r="AK223" s="15">
        <f>VLOOKUP($A$222,'集計'!$A$4:$EP$61,139,FALSE)</f>
        <v>76</v>
      </c>
      <c r="AL223" s="16">
        <f>VLOOKUP($A$222,'集計'!$A$4:$EP$61,143,FALSE)</f>
        <v>116.05</v>
      </c>
    </row>
    <row r="224" spans="1:38" ht="13.5">
      <c r="A224" s="32" t="s">
        <v>23</v>
      </c>
      <c r="B224" s="15">
        <f>VLOOKUP($A$222,'集計'!$A$4:$EP$61,4,FALSE)</f>
        <v>35</v>
      </c>
      <c r="C224" s="16">
        <f>VLOOKUP($A$222,'集計'!$A$4:$EP$61,8,FALSE)</f>
        <v>8.77</v>
      </c>
      <c r="D224" s="15">
        <f>VLOOKUP($A$222,'集計'!$A$4:$EP$61,(12),FALSE)</f>
        <v>11</v>
      </c>
      <c r="E224" s="16">
        <f>VLOOKUP($A$222,'集計'!$A$4:$EP$61,16,FALSE)</f>
        <v>22.2</v>
      </c>
      <c r="F224" s="15">
        <f>VLOOKUP($A$222,'集計'!$A$4:$EP$61,20,FALSE)</f>
        <v>2</v>
      </c>
      <c r="G224" s="16">
        <f>VLOOKUP($A$222,'集計'!$A$4:$EP$61,24,FALSE)</f>
        <v>13.8</v>
      </c>
      <c r="H224" s="15">
        <f>VLOOKUP($A$222,'集計'!$A$4:$EP$61,28,FALSE)</f>
        <v>3</v>
      </c>
      <c r="I224" s="16">
        <f>VLOOKUP($A$222,'集計'!$A$4:$EP$61,32,FALSE)</f>
        <v>59.7</v>
      </c>
      <c r="J224" s="15">
        <f>VLOOKUP($A$222,'集計'!$A$4:$EP$61,36,FALSE)</f>
        <v>3</v>
      </c>
      <c r="K224" s="16">
        <f>VLOOKUP($A$222,'集計'!$A$4:$EP$61,40,FALSE)</f>
        <v>60</v>
      </c>
      <c r="L224" s="15">
        <f>VLOOKUP($A$222,'集計'!$A$4:$EP$61,44,FALSE)</f>
        <v>0</v>
      </c>
      <c r="M224" s="16">
        <f>VLOOKUP($A$222,'集計'!$A$4:$EP$61,48,FALSE)</f>
        <v>0</v>
      </c>
      <c r="N224" s="15">
        <f>VLOOKUP($A$222,'集計'!$A$4:$EP$61,52,FALSE)</f>
        <v>0</v>
      </c>
      <c r="O224" s="16">
        <f>VLOOKUP($A$222,'集計'!$A$4:$EP$61,56,FALSE)</f>
        <v>0</v>
      </c>
      <c r="P224" s="15">
        <f>VLOOKUP($A$222,'集計'!$A$4:$EP$61,60,FALSE)</f>
        <v>0</v>
      </c>
      <c r="Q224" s="16">
        <f>VLOOKUP($A$222,'集計'!$A$4:$EP$61,64,FALSE)</f>
        <v>0</v>
      </c>
      <c r="R224" s="15">
        <f>VLOOKUP($A$222,'集計'!$A$4:$EP$61,68,FALSE)</f>
        <v>54</v>
      </c>
      <c r="S224" s="16">
        <f>VLOOKUP($A$222,'集計'!$A$4:$EP$61,72,FALSE)</f>
        <v>164.47</v>
      </c>
      <c r="T224" s="32" t="s">
        <v>23</v>
      </c>
      <c r="U224" s="15">
        <f>VLOOKUP($A$222,'集計'!$A$4:$EP$61,76,FALSE)</f>
        <v>34</v>
      </c>
      <c r="V224" s="16">
        <f>VLOOKUP($A$222,'集計'!$A$4:$EP$61,80,FALSE)</f>
        <v>8.7</v>
      </c>
      <c r="W224" s="15">
        <f>VLOOKUP($A$222,'集計'!$A$4:$EP$61,84,FALSE)</f>
        <v>10</v>
      </c>
      <c r="X224" s="16">
        <f>VLOOKUP($A$222,'集計'!$A$4:$EP$61,88,FALSE)</f>
        <v>18.7</v>
      </c>
      <c r="Y224" s="15">
        <f>VLOOKUP($A$222,'集計'!$A$4:$EP$61,92,FALSE)</f>
        <v>2</v>
      </c>
      <c r="Z224" s="16">
        <f>VLOOKUP($A$222,'集計'!$A$4:$EP$61,96,FALSE)</f>
        <v>13.8</v>
      </c>
      <c r="AA224" s="15">
        <f>VLOOKUP($A$222,'集計'!$A$4:$EP$61,100,FALSE)</f>
        <v>3</v>
      </c>
      <c r="AB224" s="16">
        <f>VLOOKUP($A$222,'集計'!$A$4:$EP$61,104,FALSE)</f>
        <v>41.9</v>
      </c>
      <c r="AC224" s="15">
        <f>VLOOKUP($A$222,'集計'!$A$4:$EP$61,108,FALSE)</f>
        <v>3</v>
      </c>
      <c r="AD224" s="16">
        <f>VLOOKUP($A$222,'集計'!$A$4:$EP$61,112,FALSE)</f>
        <v>60</v>
      </c>
      <c r="AE224" s="15">
        <f>VLOOKUP($A$222,'集計'!$A$4:$EP$61,116,FALSE)</f>
        <v>0</v>
      </c>
      <c r="AF224" s="16">
        <f>VLOOKUP($A$222,'集計'!$A$4:$EP$61,120,FALSE)</f>
        <v>0</v>
      </c>
      <c r="AG224" s="15">
        <f>VLOOKUP($A$222,'集計'!$A$4:$EP$61,124,FALSE)</f>
        <v>0</v>
      </c>
      <c r="AH224" s="16">
        <f>VLOOKUP($A$222,'集計'!$A$4:$EP$61,128,FALSE)</f>
        <v>0</v>
      </c>
      <c r="AI224" s="15">
        <f>VLOOKUP($A$222,'集計'!$A$4:$EP$61,132,FALSE)</f>
        <v>0</v>
      </c>
      <c r="AJ224" s="16">
        <f>VLOOKUP($A$222,'集計'!$A$4:$EP$61,136,FALSE)</f>
        <v>0</v>
      </c>
      <c r="AK224" s="15">
        <f>VLOOKUP($A$222,'集計'!$A$4:$EP$61,140,FALSE)</f>
        <v>52</v>
      </c>
      <c r="AL224" s="16">
        <f>VLOOKUP($A$222,'集計'!$A$4:$EP$61,144,FALSE)</f>
        <v>143.1</v>
      </c>
    </row>
    <row r="225" spans="1:38" ht="13.5">
      <c r="A225" s="32" t="s">
        <v>24</v>
      </c>
      <c r="B225" s="15">
        <f>VLOOKUP($A$222,'集計'!$A$4:$EP$61,5,FALSE)</f>
        <v>4</v>
      </c>
      <c r="C225" s="16">
        <f>VLOOKUP($A$222,'集計'!$A$4:$EP$61,9,FALSE)</f>
        <v>1.46</v>
      </c>
      <c r="D225" s="15">
        <f>VLOOKUP($A$222,'集計'!$A$4:$EP$61,13,FALSE)</f>
        <v>9</v>
      </c>
      <c r="E225" s="16">
        <f>VLOOKUP($A$222,'集計'!$A$4:$EP$61,17,FALSE)</f>
        <v>23.9</v>
      </c>
      <c r="F225" s="15">
        <f>VLOOKUP($A$222,'集計'!$A$4:$EP$61,21,FALSE)</f>
        <v>12</v>
      </c>
      <c r="G225" s="16">
        <f>VLOOKUP($A$222,'集計'!$A$4:$EP$61,25,FALSE)</f>
        <v>72.7</v>
      </c>
      <c r="H225" s="15">
        <f>VLOOKUP($A$222,'集計'!$A$4:$EP$61,29,FALSE)</f>
        <v>5</v>
      </c>
      <c r="I225" s="16">
        <f>VLOOKUP($A$222,'集計'!$A$4:$EP$61,33,FALSE)</f>
        <v>202.3</v>
      </c>
      <c r="J225" s="15">
        <f>VLOOKUP($A$222,'集計'!$A$4:$EP$61,37,FALSE)</f>
        <v>1</v>
      </c>
      <c r="K225" s="16">
        <f>VLOOKUP($A$222,'集計'!$A$4:$EP$61,41,FALSE)</f>
        <v>42.4</v>
      </c>
      <c r="L225" s="15">
        <f>VLOOKUP($A$222,'集計'!$A$4:$EP$61,45,FALSE)</f>
        <v>4</v>
      </c>
      <c r="M225" s="16">
        <f>VLOOKUP($A$222,'集計'!$A$4:$EP$61,49,FALSE)</f>
        <v>69</v>
      </c>
      <c r="N225" s="15">
        <f>VLOOKUP($A$222,'集計'!$A$4:$EP$61,53,FALSE)</f>
        <v>0</v>
      </c>
      <c r="O225" s="16">
        <f>VLOOKUP($A$222,'集計'!$A$4:$EP$61,57,FALSE)</f>
        <v>0</v>
      </c>
      <c r="P225" s="15">
        <f>VLOOKUP($A$222,'集計'!$A$4:$EP$61,61,FALSE)</f>
        <v>2</v>
      </c>
      <c r="Q225" s="16">
        <f>VLOOKUP($A$222,'集計'!$A$4:$EP$61,65,FALSE)</f>
        <v>169.7</v>
      </c>
      <c r="R225" s="15">
        <f>VLOOKUP($A$222,'集計'!$A$4:$EP$61,69,FALSE)</f>
        <v>37</v>
      </c>
      <c r="S225" s="16">
        <f>VLOOKUP($A$222,'集計'!$A$4:$EP$61,73,FALSE)</f>
        <v>581.46</v>
      </c>
      <c r="T225" s="32" t="s">
        <v>24</v>
      </c>
      <c r="U225" s="15">
        <f>VLOOKUP($A$222,'集計'!$A$4:$EP$61,77,FALSE)</f>
        <v>4</v>
      </c>
      <c r="V225" s="16">
        <f>VLOOKUP($A$222,'集計'!$A$4:$EP$61,81,FALSE)</f>
        <v>1.46</v>
      </c>
      <c r="W225" s="15">
        <f>VLOOKUP($A$222,'集計'!$A$4:$EP$61,85,FALSE)</f>
        <v>9</v>
      </c>
      <c r="X225" s="16">
        <f>VLOOKUP($A$222,'集計'!$A$4:$EP$61,89,FALSE)</f>
        <v>21.5</v>
      </c>
      <c r="Y225" s="15">
        <f>VLOOKUP($A$222,'集計'!$A$4:$EP$61,93,FALSE)</f>
        <v>12</v>
      </c>
      <c r="Z225" s="16">
        <f>VLOOKUP($A$222,'集計'!$A$4:$EP$61,97,FALSE)</f>
        <v>71.8</v>
      </c>
      <c r="AA225" s="15">
        <f>VLOOKUP($A$222,'集計'!$A$4:$EP$61,101,FALSE)</f>
        <v>5</v>
      </c>
      <c r="AB225" s="16">
        <f>VLOOKUP($A$222,'集計'!$A$4:$EP$61,105,FALSE)</f>
        <v>128.5</v>
      </c>
      <c r="AC225" s="15">
        <f>VLOOKUP($A$222,'集計'!$A$4:$EP$61,109,FALSE)</f>
        <v>1</v>
      </c>
      <c r="AD225" s="16">
        <f>VLOOKUP($A$222,'集計'!$A$4:$EP$61,113,FALSE)</f>
        <v>40.6</v>
      </c>
      <c r="AE225" s="15">
        <f>VLOOKUP($A$222,'集計'!$A$4:$EP$61,117,FALSE)</f>
        <v>3</v>
      </c>
      <c r="AF225" s="16">
        <f>VLOOKUP($A$222,'集計'!$A$4:$EP$61,121,FALSE)</f>
        <v>43.2</v>
      </c>
      <c r="AG225" s="15">
        <f>VLOOKUP($A$222,'集計'!$A$4:$EP$61,125,FALSE)</f>
        <v>0</v>
      </c>
      <c r="AH225" s="16">
        <f>VLOOKUP($A$222,'集計'!$A$4:$EP$61,129,FALSE)</f>
        <v>0</v>
      </c>
      <c r="AI225" s="15">
        <f>VLOOKUP($A$222,'集計'!$A$4:$EP$61,133,FALSE)</f>
        <v>2</v>
      </c>
      <c r="AJ225" s="16">
        <f>VLOOKUP($A$222,'集計'!$A$4:$EP$61,137,FALSE)</f>
        <v>115.3</v>
      </c>
      <c r="AK225" s="15">
        <f>VLOOKUP($A$222,'集計'!$A$4:$EP$61,141,FALSE)</f>
        <v>36</v>
      </c>
      <c r="AL225" s="16">
        <f>VLOOKUP($A$222,'集計'!$A$4:$EP$61,145,FALSE)</f>
        <v>422.36</v>
      </c>
    </row>
    <row r="226" spans="1:38" ht="13.5">
      <c r="A226" s="32" t="s">
        <v>66</v>
      </c>
      <c r="B226" s="15">
        <f>VLOOKUP($A$226,'集計'!$A$4:$EP$61,6,FALSE)</f>
        <v>462</v>
      </c>
      <c r="C226" s="16">
        <f>VLOOKUP($A$226,'集計'!$A$4:$EP$61,10,FALSE)</f>
        <v>95.94</v>
      </c>
      <c r="D226" s="15">
        <f>VLOOKUP($A$226,'集計'!$A$4:$EP$61,14,FALSE)</f>
        <v>55</v>
      </c>
      <c r="E226" s="16">
        <f>VLOOKUP($A$226,'集計'!$A$4:$EP$61,18,FALSE)</f>
        <v>139.5</v>
      </c>
      <c r="F226" s="15">
        <f>VLOOKUP($A$226,'集計'!$A$4:$EP$61,22,FALSE)</f>
        <v>20</v>
      </c>
      <c r="G226" s="16">
        <f>VLOOKUP($A$226,'集計'!$A$4:$EP$61,26,FALSE)</f>
        <v>136</v>
      </c>
      <c r="H226" s="15">
        <f>VLOOKUP($A$226,'集計'!$A$4:$EP$61,30,FALSE)</f>
        <v>22</v>
      </c>
      <c r="I226" s="16">
        <f>VLOOKUP($A$226,'集計'!$A$4:$EP$61,34,FALSE)</f>
        <v>1142.6</v>
      </c>
      <c r="J226" s="15">
        <f>VLOOKUP($A$226,'集計'!$A$4:$EP$61,38,FALSE)</f>
        <v>5</v>
      </c>
      <c r="K226" s="16">
        <f>VLOOKUP($A$226,'集計'!$A$4:$EP$61,42,FALSE)</f>
        <v>133.9</v>
      </c>
      <c r="L226" s="15">
        <f>VLOOKUP($A$226,'集計'!$A$4:$EP$61,46,FALSE)</f>
        <v>10</v>
      </c>
      <c r="M226" s="16">
        <f>VLOOKUP($A$226,'集計'!$A$4:$EP$61,50,FALSE)</f>
        <v>310.5</v>
      </c>
      <c r="N226" s="15">
        <f>VLOOKUP($A$226,'集計'!$A$4:$EP$61,54,FALSE)</f>
        <v>3</v>
      </c>
      <c r="O226" s="16">
        <f>VLOOKUP($A$226,'集計'!$A$4:$EP$61,58,FALSE)</f>
        <v>18</v>
      </c>
      <c r="P226" s="15">
        <f>VLOOKUP($A$226,'集計'!$A$4:$EP$61,62,FALSE)</f>
        <v>1</v>
      </c>
      <c r="Q226" s="16">
        <f>VLOOKUP($A$226,'集計'!$A$4:$EP$61,66,FALSE)</f>
        <v>48.4</v>
      </c>
      <c r="R226" s="15">
        <f>VLOOKUP($A$226,'集計'!$A$4:$EP$61,70,FALSE)</f>
        <v>578</v>
      </c>
      <c r="S226" s="16">
        <f>VLOOKUP($A$226,'集計'!$A$4:$EP$61,74,FALSE)</f>
        <v>2024.84</v>
      </c>
      <c r="T226" s="32" t="s">
        <v>66</v>
      </c>
      <c r="U226" s="15">
        <f>VLOOKUP($A$226,'集計'!$A$4:$EP$61,78,FALSE)</f>
        <v>451</v>
      </c>
      <c r="V226" s="16">
        <f>VLOOKUP($A$226,'集計'!$A$4:$EP$61,82,FALSE)</f>
        <v>94.34</v>
      </c>
      <c r="W226" s="15">
        <f>VLOOKUP($A$226,'集計'!$A$4:$EP$61,86,FALSE)</f>
        <v>53</v>
      </c>
      <c r="X226" s="16">
        <f>VLOOKUP($A$226,'集計'!$A$4:$EP$61,90,FALSE)</f>
        <v>101.3</v>
      </c>
      <c r="Y226" s="15">
        <f>VLOOKUP($A$226,'集計'!$A$4:$EP$61,94,FALSE)</f>
        <v>20</v>
      </c>
      <c r="Z226" s="16">
        <f>VLOOKUP($A$226,'集計'!$A$4:$EP$61,98,FALSE)</f>
        <v>125</v>
      </c>
      <c r="AA226" s="15">
        <f>VLOOKUP($A$226,'集計'!$A$4:$EP$61,102,FALSE)</f>
        <v>22</v>
      </c>
      <c r="AB226" s="16">
        <f>VLOOKUP($A$226,'集計'!$A$4:$EP$61,106,FALSE)</f>
        <v>507.4</v>
      </c>
      <c r="AC226" s="15">
        <f>VLOOKUP($A$226,'集計'!$A$4:$EP$61,110,FALSE)</f>
        <v>3</v>
      </c>
      <c r="AD226" s="16">
        <f>VLOOKUP($A$226,'集計'!$A$4:$EP$61,114,FALSE)</f>
        <v>73.4</v>
      </c>
      <c r="AE226" s="15">
        <f>VLOOKUP($A$226,'集計'!$A$4:$EP$61,118,FALSE)</f>
        <v>9</v>
      </c>
      <c r="AF226" s="16">
        <f>VLOOKUP($A$226,'集計'!$A$4:$EP$61,122,FALSE)</f>
        <v>181</v>
      </c>
      <c r="AG226" s="15">
        <f>VLOOKUP($A$226,'集計'!$A$4:$EP$61,126,FALSE)</f>
        <v>3</v>
      </c>
      <c r="AH226" s="16">
        <f>VLOOKUP($A$226,'集計'!$A$4:$EP$61,130,FALSE)</f>
        <v>17.3</v>
      </c>
      <c r="AI226" s="15">
        <f>VLOOKUP($A$226,'集計'!$A$4:$EP$61,134,FALSE)</f>
        <v>1</v>
      </c>
      <c r="AJ226" s="16">
        <f>VLOOKUP($A$226,'集計'!$A$4:$EP$61,138,FALSE)</f>
        <v>36.9</v>
      </c>
      <c r="AK226" s="15">
        <f>VLOOKUP($A$226,'集計'!$A$4:$EP$61,142,FALSE)</f>
        <v>562</v>
      </c>
      <c r="AL226" s="16">
        <f>VLOOKUP($A$226,'集計'!$A$4:$EP$61,146,FALSE)</f>
        <v>1136.64</v>
      </c>
    </row>
    <row r="227" spans="1:38" ht="13.5">
      <c r="A227" s="32" t="s">
        <v>22</v>
      </c>
      <c r="B227" s="15">
        <f>VLOOKUP($A$226,'集計'!$A$4:$EP$61,3,FALSE)</f>
        <v>306</v>
      </c>
      <c r="C227" s="16">
        <f>VLOOKUP($A$226,'集計'!$A$4:$EP$61,7,FALSE)</f>
        <v>61.87</v>
      </c>
      <c r="D227" s="15">
        <f>VLOOKUP($A$226,'集計'!$A$4:$EP$61,11,FALSE)</f>
        <v>21</v>
      </c>
      <c r="E227" s="16">
        <f>VLOOKUP($A$226,'集計'!$A$4:$EP$61,15,FALSE)</f>
        <v>35</v>
      </c>
      <c r="F227" s="15">
        <f>VLOOKUP($A$226,'集計'!$A$4:$EP$61,19,FALSE)</f>
        <v>5</v>
      </c>
      <c r="G227" s="16">
        <f>VLOOKUP($A$226,'集計'!$A$4:$EP$61,23,FALSE)</f>
        <v>33.4</v>
      </c>
      <c r="H227" s="15">
        <f>VLOOKUP($A$226,'集計'!$A$4:$EP$61,27,FALSE)</f>
        <v>4</v>
      </c>
      <c r="I227" s="16">
        <f>VLOOKUP($A$226,'集計'!$A$4:$EP$61,31,FALSE)</f>
        <v>76.8</v>
      </c>
      <c r="J227" s="15">
        <f>VLOOKUP($A$226,'集計'!$A$4:$EP$61,35,FALSE)</f>
        <v>1</v>
      </c>
      <c r="K227" s="16">
        <f>VLOOKUP($A$226,'集計'!$A$4:$EP$61,39,FALSE)</f>
        <v>17.8</v>
      </c>
      <c r="L227" s="15">
        <f>VLOOKUP($A$226,'集計'!$A$4:$EP$61,43,FALSE)</f>
        <v>1</v>
      </c>
      <c r="M227" s="16">
        <f>VLOOKUP($A$226,'集計'!$A$4:$EP$61,47,FALSE)</f>
        <v>4.2</v>
      </c>
      <c r="N227" s="15">
        <f>VLOOKUP($A$226,'集計'!$A$4:$EP$61,51,FALSE)</f>
        <v>2</v>
      </c>
      <c r="O227" s="16">
        <f>VLOOKUP($A$226,'集計'!$A$4:$EP$61,55,FALSE)</f>
        <v>14.3</v>
      </c>
      <c r="P227" s="15">
        <f>VLOOKUP($A$226,'集計'!$A$4:$EP$61,59,FALSE)</f>
        <v>0</v>
      </c>
      <c r="Q227" s="16">
        <f>VLOOKUP($A$226,'集計'!$A$4:$EP$61,63,FALSE)</f>
        <v>0</v>
      </c>
      <c r="R227" s="15">
        <f>VLOOKUP($A$226,'集計'!$A$4:$EP$61,67,FALSE)</f>
        <v>340</v>
      </c>
      <c r="S227" s="16">
        <f>VLOOKUP($A$226,'集計'!$A$4:$EP$61,71,FALSE)</f>
        <v>243.37</v>
      </c>
      <c r="T227" s="32" t="s">
        <v>22</v>
      </c>
      <c r="U227" s="15">
        <f>VLOOKUP($A$226,'集計'!$A$4:$EP$61,75,FALSE)</f>
        <v>298</v>
      </c>
      <c r="V227" s="16">
        <f>VLOOKUP($A$226,'集計'!$A$4:$EP$61,79,FALSE)</f>
        <v>60.67</v>
      </c>
      <c r="W227" s="15">
        <f>VLOOKUP($A$226,'集計'!$A$4:$EP$61,83,FALSE)</f>
        <v>21</v>
      </c>
      <c r="X227" s="16">
        <f>VLOOKUP($A$226,'集計'!$A$4:$EP$61,87,FALSE)</f>
        <v>32</v>
      </c>
      <c r="Y227" s="15">
        <f>VLOOKUP($A$226,'集計'!$A$4:$EP$61,91,FALSE)</f>
        <v>5</v>
      </c>
      <c r="Z227" s="16">
        <f>VLOOKUP($A$226,'集計'!$A$4:$EP$61,95,FALSE)</f>
        <v>33.1</v>
      </c>
      <c r="AA227" s="15">
        <f>VLOOKUP($A$226,'集計'!$A$4:$EP$61,99,FALSE)</f>
        <v>4</v>
      </c>
      <c r="AB227" s="16">
        <f>VLOOKUP($A$226,'集計'!$A$4:$EP$61,103,FALSE)</f>
        <v>73.4</v>
      </c>
      <c r="AC227" s="15">
        <f>VLOOKUP($A$226,'集計'!$A$4:$EP$61,107,FALSE)</f>
        <v>1</v>
      </c>
      <c r="AD227" s="16">
        <f>VLOOKUP($A$226,'集計'!$A$4:$EP$61,111,FALSE)</f>
        <v>17.8</v>
      </c>
      <c r="AE227" s="15">
        <f>VLOOKUP($A$226,'集計'!$A$4:$EP$61,115,FALSE)</f>
        <v>1</v>
      </c>
      <c r="AF227" s="16">
        <f>VLOOKUP($A$226,'集計'!$A$4:$EP$61,119,FALSE)</f>
        <v>2.9</v>
      </c>
      <c r="AG227" s="15">
        <f>VLOOKUP($A$226,'集計'!$A$4:$EP$61,123,FALSE)</f>
        <v>2</v>
      </c>
      <c r="AH227" s="16">
        <f>VLOOKUP($A$226,'集計'!$A$4:$EP$61,127,FALSE)</f>
        <v>13.6</v>
      </c>
      <c r="AI227" s="15">
        <f>VLOOKUP($A$226,'集計'!$A$4:$EP$61,131,FALSE)</f>
        <v>0</v>
      </c>
      <c r="AJ227" s="16">
        <f>VLOOKUP($A$226,'集計'!$A$4:$EP$61,135,FALSE)</f>
        <v>0</v>
      </c>
      <c r="AK227" s="15">
        <f>VLOOKUP($A$226,'集計'!$A$4:$EP$61,139,FALSE)</f>
        <v>332</v>
      </c>
      <c r="AL227" s="16">
        <f>VLOOKUP($A$226,'集計'!$A$4:$EP$61,143,FALSE)</f>
        <v>233.47</v>
      </c>
    </row>
    <row r="228" spans="1:38" ht="13.5">
      <c r="A228" s="32" t="s">
        <v>23</v>
      </c>
      <c r="B228" s="15">
        <f>VLOOKUP($A$226,'集計'!$A$4:$EP$61,4,FALSE)</f>
        <v>108</v>
      </c>
      <c r="C228" s="16">
        <f>VLOOKUP($A$226,'集計'!$A$4:$EP$61,8,FALSE)</f>
        <v>20.13</v>
      </c>
      <c r="D228" s="15">
        <f>VLOOKUP($A$226,'集計'!$A$4:$EP$61,(12),FALSE)</f>
        <v>12</v>
      </c>
      <c r="E228" s="16">
        <f>VLOOKUP($A$226,'集計'!$A$4:$EP$61,16,FALSE)</f>
        <v>29.3</v>
      </c>
      <c r="F228" s="15">
        <f>VLOOKUP($A$226,'集計'!$A$4:$EP$61,20,FALSE)</f>
        <v>2</v>
      </c>
      <c r="G228" s="16">
        <f>VLOOKUP($A$226,'集計'!$A$4:$EP$61,24,FALSE)</f>
        <v>13.8</v>
      </c>
      <c r="H228" s="15">
        <f>VLOOKUP($A$226,'集計'!$A$4:$EP$61,28,FALSE)</f>
        <v>5</v>
      </c>
      <c r="I228" s="16">
        <f>VLOOKUP($A$226,'集計'!$A$4:$EP$61,32,FALSE)</f>
        <v>188.3</v>
      </c>
      <c r="J228" s="15">
        <f>VLOOKUP($A$226,'集計'!$A$4:$EP$61,36,FALSE)</f>
        <v>3</v>
      </c>
      <c r="K228" s="16">
        <f>VLOOKUP($A$226,'集計'!$A$4:$EP$61,40,FALSE)</f>
        <v>53.6</v>
      </c>
      <c r="L228" s="15">
        <f>VLOOKUP($A$226,'集計'!$A$4:$EP$61,44,FALSE)</f>
        <v>0</v>
      </c>
      <c r="M228" s="16">
        <f>VLOOKUP($A$226,'集計'!$A$4:$EP$61,48,FALSE)</f>
        <v>0</v>
      </c>
      <c r="N228" s="15">
        <f>VLOOKUP($A$226,'集計'!$A$4:$EP$61,52,FALSE)</f>
        <v>1</v>
      </c>
      <c r="O228" s="16">
        <f>VLOOKUP($A$226,'集計'!$A$4:$EP$61,56,FALSE)</f>
        <v>3.7</v>
      </c>
      <c r="P228" s="15">
        <f>VLOOKUP($A$226,'集計'!$A$4:$EP$61,60,FALSE)</f>
        <v>0</v>
      </c>
      <c r="Q228" s="16">
        <f>VLOOKUP($A$226,'集計'!$A$4:$EP$61,64,FALSE)</f>
        <v>0</v>
      </c>
      <c r="R228" s="15">
        <f>VLOOKUP($A$226,'集計'!$A$4:$EP$61,68,FALSE)</f>
        <v>131</v>
      </c>
      <c r="S228" s="16">
        <f>VLOOKUP($A$226,'集計'!$A$4:$EP$61,72,FALSE)</f>
        <v>308.83</v>
      </c>
      <c r="T228" s="32" t="s">
        <v>23</v>
      </c>
      <c r="U228" s="15">
        <f>VLOOKUP($A$226,'集計'!$A$4:$EP$61,76,FALSE)</f>
        <v>105</v>
      </c>
      <c r="V228" s="16">
        <f>VLOOKUP($A$226,'集計'!$A$4:$EP$61,80,FALSE)</f>
        <v>19.63</v>
      </c>
      <c r="W228" s="15">
        <f>VLOOKUP($A$226,'集計'!$A$4:$EP$61,84,FALSE)</f>
        <v>11</v>
      </c>
      <c r="X228" s="16">
        <f>VLOOKUP($A$226,'集計'!$A$4:$EP$61,88,FALSE)</f>
        <v>24.3</v>
      </c>
      <c r="Y228" s="15">
        <f>VLOOKUP($A$226,'集計'!$A$4:$EP$61,92,FALSE)</f>
        <v>2</v>
      </c>
      <c r="Z228" s="16">
        <f>VLOOKUP($A$226,'集計'!$A$4:$EP$61,96,FALSE)</f>
        <v>13.8</v>
      </c>
      <c r="AA228" s="15">
        <f>VLOOKUP($A$226,'集計'!$A$4:$EP$61,100,FALSE)</f>
        <v>5</v>
      </c>
      <c r="AB228" s="16">
        <f>VLOOKUP($A$226,'集計'!$A$4:$EP$61,104,FALSE)</f>
        <v>165.1</v>
      </c>
      <c r="AC228" s="15">
        <f>VLOOKUP($A$226,'集計'!$A$4:$EP$61,108,FALSE)</f>
        <v>1</v>
      </c>
      <c r="AD228" s="16">
        <f>VLOOKUP($A$226,'集計'!$A$4:$EP$61,112,FALSE)</f>
        <v>11.8</v>
      </c>
      <c r="AE228" s="15">
        <f>VLOOKUP($A$226,'集計'!$A$4:$EP$61,116,FALSE)</f>
        <v>1</v>
      </c>
      <c r="AF228" s="16">
        <f>VLOOKUP($A$226,'集計'!$A$4:$EP$61,120,FALSE)</f>
        <v>1.7</v>
      </c>
      <c r="AG228" s="15">
        <f>VLOOKUP($A$226,'集計'!$A$4:$EP$61,124,FALSE)</f>
        <v>1</v>
      </c>
      <c r="AH228" s="16">
        <f>VLOOKUP($A$226,'集計'!$A$4:$EP$61,128,FALSE)</f>
        <v>3.7</v>
      </c>
      <c r="AI228" s="15">
        <f>VLOOKUP($A$226,'集計'!$A$4:$EP$61,132,FALSE)</f>
        <v>0</v>
      </c>
      <c r="AJ228" s="16">
        <f>VLOOKUP($A$226,'集計'!$A$4:$EP$61,136,FALSE)</f>
        <v>0</v>
      </c>
      <c r="AK228" s="15">
        <f>VLOOKUP($A$226,'集計'!$A$4:$EP$61,140,FALSE)</f>
        <v>126</v>
      </c>
      <c r="AL228" s="16">
        <f>VLOOKUP($A$226,'集計'!$A$4:$EP$61,144,FALSE)</f>
        <v>240.03</v>
      </c>
    </row>
    <row r="229" spans="1:38" ht="13.5">
      <c r="A229" s="32" t="s">
        <v>24</v>
      </c>
      <c r="B229" s="15">
        <f>VLOOKUP($A$226,'集計'!$A$4:$EP$61,5,FALSE)</f>
        <v>48</v>
      </c>
      <c r="C229" s="16">
        <f>VLOOKUP($A$226,'集計'!$A$4:$EP$61,9,FALSE)</f>
        <v>13.94</v>
      </c>
      <c r="D229" s="15">
        <f>VLOOKUP($A$226,'集計'!$A$4:$EP$61,13,FALSE)</f>
        <v>22</v>
      </c>
      <c r="E229" s="16">
        <f>VLOOKUP($A$226,'集計'!$A$4:$EP$61,17,FALSE)</f>
        <v>75.2</v>
      </c>
      <c r="F229" s="15">
        <f>VLOOKUP($A$226,'集計'!$A$4:$EP$61,21,FALSE)</f>
        <v>13</v>
      </c>
      <c r="G229" s="16">
        <f>VLOOKUP($A$226,'集計'!$A$4:$EP$61,25,FALSE)</f>
        <v>88.8</v>
      </c>
      <c r="H229" s="15">
        <f>VLOOKUP($A$226,'集計'!$A$4:$EP$61,29,FALSE)</f>
        <v>13</v>
      </c>
      <c r="I229" s="16">
        <f>VLOOKUP($A$226,'集計'!$A$4:$EP$61,33,FALSE)</f>
        <v>877.5</v>
      </c>
      <c r="J229" s="15">
        <f>VLOOKUP($A$226,'集計'!$A$4:$EP$61,37,FALSE)</f>
        <v>1</v>
      </c>
      <c r="K229" s="16">
        <f>VLOOKUP($A$226,'集計'!$A$4:$EP$61,41,FALSE)</f>
        <v>62.5</v>
      </c>
      <c r="L229" s="15">
        <f>VLOOKUP($A$226,'集計'!$A$4:$EP$61,45,FALSE)</f>
        <v>9</v>
      </c>
      <c r="M229" s="16">
        <f>VLOOKUP($A$226,'集計'!$A$4:$EP$61,49,FALSE)</f>
        <v>306.3</v>
      </c>
      <c r="N229" s="15">
        <f>VLOOKUP($A$226,'集計'!$A$4:$EP$61,53,FALSE)</f>
        <v>0</v>
      </c>
      <c r="O229" s="16">
        <f>VLOOKUP($A$226,'集計'!$A$4:$EP$61,57,FALSE)</f>
        <v>0</v>
      </c>
      <c r="P229" s="15">
        <f>VLOOKUP($A$226,'集計'!$A$4:$EP$61,61,FALSE)</f>
        <v>1</v>
      </c>
      <c r="Q229" s="16">
        <f>VLOOKUP($A$226,'集計'!$A$4:$EP$61,65,FALSE)</f>
        <v>48.4</v>
      </c>
      <c r="R229" s="15">
        <f>VLOOKUP($A$226,'集計'!$A$4:$EP$61,69,FALSE)</f>
        <v>107</v>
      </c>
      <c r="S229" s="16">
        <f>VLOOKUP($A$226,'集計'!$A$4:$EP$61,73,FALSE)</f>
        <v>1472.64</v>
      </c>
      <c r="T229" s="32" t="s">
        <v>24</v>
      </c>
      <c r="U229" s="15">
        <f>VLOOKUP($A$226,'集計'!$A$4:$EP$61,77,FALSE)</f>
        <v>48</v>
      </c>
      <c r="V229" s="16">
        <f>VLOOKUP($A$226,'集計'!$A$4:$EP$61,81,FALSE)</f>
        <v>14.04</v>
      </c>
      <c r="W229" s="15">
        <f>VLOOKUP($A$226,'集計'!$A$4:$EP$61,85,FALSE)</f>
        <v>21</v>
      </c>
      <c r="X229" s="16">
        <f>VLOOKUP($A$226,'集計'!$A$4:$EP$61,89,FALSE)</f>
        <v>45</v>
      </c>
      <c r="Y229" s="15">
        <f>VLOOKUP($A$226,'集計'!$A$4:$EP$61,93,FALSE)</f>
        <v>13</v>
      </c>
      <c r="Z229" s="16">
        <f>VLOOKUP($A$226,'集計'!$A$4:$EP$61,97,FALSE)</f>
        <v>78.1</v>
      </c>
      <c r="AA229" s="15">
        <f>VLOOKUP($A$226,'集計'!$A$4:$EP$61,101,FALSE)</f>
        <v>13</v>
      </c>
      <c r="AB229" s="16">
        <f>VLOOKUP($A$226,'集計'!$A$4:$EP$61,105,FALSE)</f>
        <v>268.9</v>
      </c>
      <c r="AC229" s="15">
        <f>VLOOKUP($A$226,'集計'!$A$4:$EP$61,109,FALSE)</f>
        <v>1</v>
      </c>
      <c r="AD229" s="16">
        <f>VLOOKUP($A$226,'集計'!$A$4:$EP$61,113,FALSE)</f>
        <v>43.8</v>
      </c>
      <c r="AE229" s="15">
        <f>VLOOKUP($A$226,'集計'!$A$4:$EP$61,117,FALSE)</f>
        <v>7</v>
      </c>
      <c r="AF229" s="16">
        <f>VLOOKUP($A$226,'集計'!$A$4:$EP$61,121,FALSE)</f>
        <v>176.4</v>
      </c>
      <c r="AG229" s="15">
        <f>VLOOKUP($A$226,'集計'!$A$4:$EP$61,125,FALSE)</f>
        <v>0</v>
      </c>
      <c r="AH229" s="16">
        <f>VLOOKUP($A$226,'集計'!$A$4:$EP$61,129,FALSE)</f>
        <v>0</v>
      </c>
      <c r="AI229" s="15">
        <f>VLOOKUP($A$226,'集計'!$A$4:$EP$61,133,FALSE)</f>
        <v>1</v>
      </c>
      <c r="AJ229" s="16">
        <f>VLOOKUP($A$226,'集計'!$A$4:$EP$61,137,FALSE)</f>
        <v>36.9</v>
      </c>
      <c r="AK229" s="15">
        <f>VLOOKUP($A$226,'集計'!$A$4:$EP$61,141,FALSE)</f>
        <v>104</v>
      </c>
      <c r="AL229" s="16">
        <f>VLOOKUP($A$226,'集計'!$A$4:$EP$61,145,FALSE)</f>
        <v>663.14</v>
      </c>
    </row>
    <row r="230" spans="1:38" ht="13.5">
      <c r="A230" s="32" t="s">
        <v>67</v>
      </c>
      <c r="B230" s="15">
        <f>VLOOKUP($A$230,'集計'!$A$4:$EP$61,6,FALSE)</f>
        <v>324</v>
      </c>
      <c r="C230" s="16">
        <f>VLOOKUP($A$230,'集計'!$A$4:$EP$61,10,FALSE)</f>
        <v>76.38</v>
      </c>
      <c r="D230" s="15">
        <f>VLOOKUP($A$230,'集計'!$A$4:$EP$61,14,FALSE)</f>
        <v>59</v>
      </c>
      <c r="E230" s="16">
        <f>VLOOKUP($A$230,'集計'!$A$4:$EP$61,18,FALSE)</f>
        <v>106.76</v>
      </c>
      <c r="F230" s="15">
        <f>VLOOKUP($A$230,'集計'!$A$4:$EP$61,22,FALSE)</f>
        <v>16</v>
      </c>
      <c r="G230" s="16">
        <f>VLOOKUP($A$230,'集計'!$A$4:$EP$61,26,FALSE)</f>
        <v>80</v>
      </c>
      <c r="H230" s="15">
        <f>VLOOKUP($A$230,'集計'!$A$4:$EP$61,30,FALSE)</f>
        <v>15</v>
      </c>
      <c r="I230" s="16">
        <f>VLOOKUP($A$230,'集計'!$A$4:$EP$61,34,FALSE)</f>
        <v>312.2</v>
      </c>
      <c r="J230" s="15">
        <f>VLOOKUP($A$230,'集計'!$A$4:$EP$61,38,FALSE)</f>
        <v>7</v>
      </c>
      <c r="K230" s="16">
        <f>VLOOKUP($A$230,'集計'!$A$4:$EP$61,42,FALSE)</f>
        <v>209.7</v>
      </c>
      <c r="L230" s="15">
        <f>VLOOKUP($A$230,'集計'!$A$4:$EP$61,46,FALSE)</f>
        <v>6</v>
      </c>
      <c r="M230" s="16">
        <f>VLOOKUP($A$230,'集計'!$A$4:$EP$61,50,FALSE)</f>
        <v>34.5</v>
      </c>
      <c r="N230" s="15">
        <f>VLOOKUP($A$230,'集計'!$A$4:$EP$61,54,FALSE)</f>
        <v>10</v>
      </c>
      <c r="O230" s="16">
        <f>VLOOKUP($A$230,'集計'!$A$4:$EP$61,58,FALSE)</f>
        <v>33.6</v>
      </c>
      <c r="P230" s="15">
        <f>VLOOKUP($A$230,'集計'!$A$4:$EP$61,62,FALSE)</f>
        <v>3</v>
      </c>
      <c r="Q230" s="16">
        <f>VLOOKUP($A$230,'集計'!$A$4:$EP$61,66,FALSE)</f>
        <v>225.3</v>
      </c>
      <c r="R230" s="15">
        <f>VLOOKUP($A$230,'集計'!$A$4:$EP$61,70,FALSE)</f>
        <v>440</v>
      </c>
      <c r="S230" s="16">
        <f>VLOOKUP($A$230,'集計'!$A$4:$EP$61,74,FALSE)</f>
        <v>1078.44</v>
      </c>
      <c r="T230" s="32" t="s">
        <v>67</v>
      </c>
      <c r="U230" s="15">
        <f>VLOOKUP($A$230,'集計'!$A$4:$EP$61,78,FALSE)</f>
        <v>320</v>
      </c>
      <c r="V230" s="16">
        <f>VLOOKUP($A$230,'集計'!$A$4:$EP$61,82,FALSE)</f>
        <v>76.63</v>
      </c>
      <c r="W230" s="15">
        <f>VLOOKUP($A$230,'集計'!$A$4:$EP$61,86,FALSE)</f>
        <v>58</v>
      </c>
      <c r="X230" s="16">
        <f>VLOOKUP($A$230,'集計'!$A$4:$EP$61,90,FALSE)</f>
        <v>93.6</v>
      </c>
      <c r="Y230" s="15">
        <f>VLOOKUP($A$230,'集計'!$A$4:$EP$61,94,FALSE)</f>
        <v>14</v>
      </c>
      <c r="Z230" s="16">
        <f>VLOOKUP($A$230,'集計'!$A$4:$EP$61,98,FALSE)</f>
        <v>66.9</v>
      </c>
      <c r="AA230" s="15">
        <f>VLOOKUP($A$230,'集計'!$A$4:$EP$61,102,FALSE)</f>
        <v>13</v>
      </c>
      <c r="AB230" s="16">
        <f>VLOOKUP($A$230,'集計'!$A$4:$EP$61,106,FALSE)</f>
        <v>251.3</v>
      </c>
      <c r="AC230" s="15">
        <f>VLOOKUP($A$230,'集計'!$A$4:$EP$61,110,FALSE)</f>
        <v>6</v>
      </c>
      <c r="AD230" s="16">
        <f>VLOOKUP($A$230,'集計'!$A$4:$EP$61,114,FALSE)</f>
        <v>197.8</v>
      </c>
      <c r="AE230" s="15">
        <f>VLOOKUP($A$230,'集計'!$A$4:$EP$61,118,FALSE)</f>
        <v>6</v>
      </c>
      <c r="AF230" s="16">
        <f>VLOOKUP($A$230,'集計'!$A$4:$EP$61,122,FALSE)</f>
        <v>32.1</v>
      </c>
      <c r="AG230" s="15">
        <f>VLOOKUP($A$230,'集計'!$A$4:$EP$61,126,FALSE)</f>
        <v>10</v>
      </c>
      <c r="AH230" s="16">
        <f>VLOOKUP($A$230,'集計'!$A$4:$EP$61,130,FALSE)</f>
        <v>26.7</v>
      </c>
      <c r="AI230" s="15">
        <f>VLOOKUP($A$230,'集計'!$A$4:$EP$61,134,FALSE)</f>
        <v>3</v>
      </c>
      <c r="AJ230" s="16">
        <f>VLOOKUP($A$230,'集計'!$A$4:$EP$61,138,FALSE)</f>
        <v>174.8</v>
      </c>
      <c r="AK230" s="15">
        <f>VLOOKUP($A$230,'集計'!$A$4:$EP$61,142,FALSE)</f>
        <v>430</v>
      </c>
      <c r="AL230" s="16">
        <f>VLOOKUP($A$230,'集計'!$A$4:$EP$61,146,FALSE)</f>
        <v>919.83</v>
      </c>
    </row>
    <row r="231" spans="1:38" ht="13.5">
      <c r="A231" s="32" t="s">
        <v>22</v>
      </c>
      <c r="B231" s="15">
        <f>VLOOKUP($A$230,'集計'!$A$4:$EP$61,3,FALSE)</f>
        <v>240</v>
      </c>
      <c r="C231" s="16">
        <f>VLOOKUP($A$230,'集計'!$A$4:$EP$61,7,FALSE)</f>
        <v>54.64</v>
      </c>
      <c r="D231" s="15">
        <f>VLOOKUP($A$230,'集計'!$A$4:$EP$61,11,FALSE)</f>
        <v>31</v>
      </c>
      <c r="E231" s="16">
        <f>VLOOKUP($A$230,'集計'!$A$4:$EP$61,15,FALSE)</f>
        <v>53.5</v>
      </c>
      <c r="F231" s="15">
        <f>VLOOKUP($A$230,'集計'!$A$4:$EP$61,19,FALSE)</f>
        <v>4</v>
      </c>
      <c r="G231" s="16">
        <f>VLOOKUP($A$230,'集計'!$A$4:$EP$61,23,FALSE)</f>
        <v>19.9</v>
      </c>
      <c r="H231" s="15">
        <f>VLOOKUP($A$230,'集計'!$A$4:$EP$61,27,FALSE)</f>
        <v>1</v>
      </c>
      <c r="I231" s="16">
        <f>VLOOKUP($A$230,'集計'!$A$4:$EP$61,31,FALSE)</f>
        <v>56.3</v>
      </c>
      <c r="J231" s="15">
        <f>VLOOKUP($A$230,'集計'!$A$4:$EP$61,35,FALSE)</f>
        <v>2</v>
      </c>
      <c r="K231" s="16">
        <f>VLOOKUP($A$230,'集計'!$A$4:$EP$61,39,FALSE)</f>
        <v>41.2</v>
      </c>
      <c r="L231" s="15">
        <f>VLOOKUP($A$230,'集計'!$A$4:$EP$61,43,FALSE)</f>
        <v>1</v>
      </c>
      <c r="M231" s="16">
        <f>VLOOKUP($A$230,'集計'!$A$4:$EP$61,47,FALSE)</f>
        <v>14.6</v>
      </c>
      <c r="N231" s="15">
        <f>VLOOKUP($A$230,'集計'!$A$4:$EP$61,51,FALSE)</f>
        <v>5</v>
      </c>
      <c r="O231" s="16">
        <f>VLOOKUP($A$230,'集計'!$A$4:$EP$61,55,FALSE)</f>
        <v>10.5</v>
      </c>
      <c r="P231" s="15">
        <f>VLOOKUP($A$230,'集計'!$A$4:$EP$61,59,FALSE)</f>
        <v>1</v>
      </c>
      <c r="Q231" s="16">
        <f>VLOOKUP($A$230,'集計'!$A$4:$EP$61,63,FALSE)</f>
        <v>126.9</v>
      </c>
      <c r="R231" s="15">
        <f>VLOOKUP($A$230,'集計'!$A$4:$EP$61,67,FALSE)</f>
        <v>285</v>
      </c>
      <c r="S231" s="16">
        <f>VLOOKUP($A$230,'集計'!$A$4:$EP$61,71,FALSE)</f>
        <v>377.54</v>
      </c>
      <c r="T231" s="32" t="s">
        <v>22</v>
      </c>
      <c r="U231" s="15">
        <f>VLOOKUP($A$230,'集計'!$A$4:$EP$61,75,FALSE)</f>
        <v>238</v>
      </c>
      <c r="V231" s="16">
        <f>VLOOKUP($A$230,'集計'!$A$4:$EP$61,79,FALSE)</f>
        <v>55.24</v>
      </c>
      <c r="W231" s="15">
        <f>VLOOKUP($A$230,'集計'!$A$4:$EP$61,83,FALSE)</f>
        <v>29</v>
      </c>
      <c r="X231" s="16">
        <f>VLOOKUP($A$230,'集計'!$A$4:$EP$61,87,FALSE)</f>
        <v>41.9</v>
      </c>
      <c r="Y231" s="15">
        <f>VLOOKUP($A$230,'集計'!$A$4:$EP$61,91,FALSE)</f>
        <v>4</v>
      </c>
      <c r="Z231" s="16">
        <f>VLOOKUP($A$230,'集計'!$A$4:$EP$61,95,FALSE)</f>
        <v>19.6</v>
      </c>
      <c r="AA231" s="15">
        <f>VLOOKUP($A$230,'集計'!$A$4:$EP$61,99,FALSE)</f>
        <v>1</v>
      </c>
      <c r="AB231" s="16">
        <f>VLOOKUP($A$230,'集計'!$A$4:$EP$61,103,FALSE)</f>
        <v>53.6</v>
      </c>
      <c r="AC231" s="15">
        <f>VLOOKUP($A$230,'集計'!$A$4:$EP$61,107,FALSE)</f>
        <v>2</v>
      </c>
      <c r="AD231" s="16">
        <f>VLOOKUP($A$230,'集計'!$A$4:$EP$61,111,FALSE)</f>
        <v>41.2</v>
      </c>
      <c r="AE231" s="15">
        <f>VLOOKUP($A$230,'集計'!$A$4:$EP$61,115,FALSE)</f>
        <v>1</v>
      </c>
      <c r="AF231" s="16">
        <f>VLOOKUP($A$230,'集計'!$A$4:$EP$61,119,FALSE)</f>
        <v>13.5</v>
      </c>
      <c r="AG231" s="15">
        <f>VLOOKUP($A$230,'集計'!$A$4:$EP$61,123,FALSE)</f>
        <v>5</v>
      </c>
      <c r="AH231" s="16">
        <f>VLOOKUP($A$230,'集計'!$A$4:$EP$61,127,FALSE)</f>
        <v>10.5</v>
      </c>
      <c r="AI231" s="15">
        <f>VLOOKUP($A$230,'集計'!$A$4:$EP$61,131,FALSE)</f>
        <v>1</v>
      </c>
      <c r="AJ231" s="16">
        <f>VLOOKUP($A$230,'集計'!$A$4:$EP$61,135,FALSE)</f>
        <v>125.4</v>
      </c>
      <c r="AK231" s="15">
        <f>VLOOKUP($A$230,'集計'!$A$4:$EP$61,139,FALSE)</f>
        <v>281</v>
      </c>
      <c r="AL231" s="16">
        <f>VLOOKUP($A$230,'集計'!$A$4:$EP$61,143,FALSE)</f>
        <v>360.94</v>
      </c>
    </row>
    <row r="232" spans="1:38" ht="13.5">
      <c r="A232" s="32" t="s">
        <v>23</v>
      </c>
      <c r="B232" s="15">
        <f>VLOOKUP($A$230,'集計'!$A$4:$EP$61,4,FALSE)</f>
        <v>40</v>
      </c>
      <c r="C232" s="16">
        <f>VLOOKUP($A$230,'集計'!$A$4:$EP$61,8,FALSE)</f>
        <v>10.53</v>
      </c>
      <c r="D232" s="15">
        <f>VLOOKUP($A$230,'集計'!$A$4:$EP$61,(12),FALSE)</f>
        <v>5</v>
      </c>
      <c r="E232" s="16">
        <f>VLOOKUP($A$230,'集計'!$A$4:$EP$61,16,FALSE)</f>
        <v>10.5</v>
      </c>
      <c r="F232" s="15">
        <f>VLOOKUP($A$230,'集計'!$A$4:$EP$61,20,FALSE)</f>
        <v>2</v>
      </c>
      <c r="G232" s="16">
        <f>VLOOKUP($A$230,'集計'!$A$4:$EP$61,24,FALSE)</f>
        <v>10.6</v>
      </c>
      <c r="H232" s="15">
        <f>VLOOKUP($A$230,'集計'!$A$4:$EP$61,28,FALSE)</f>
        <v>3</v>
      </c>
      <c r="I232" s="16">
        <f>VLOOKUP($A$230,'集計'!$A$4:$EP$61,32,FALSE)</f>
        <v>73.8</v>
      </c>
      <c r="J232" s="15">
        <f>VLOOKUP($A$230,'集計'!$A$4:$EP$61,36,FALSE)</f>
        <v>1</v>
      </c>
      <c r="K232" s="16">
        <f>VLOOKUP($A$230,'集計'!$A$4:$EP$61,40,FALSE)</f>
        <v>13</v>
      </c>
      <c r="L232" s="15">
        <f>VLOOKUP($A$230,'集計'!$A$4:$EP$61,44,FALSE)</f>
        <v>2</v>
      </c>
      <c r="M232" s="16">
        <f>VLOOKUP($A$230,'集計'!$A$4:$EP$61,48,FALSE)</f>
        <v>4.9</v>
      </c>
      <c r="N232" s="15">
        <f>VLOOKUP($A$230,'集計'!$A$4:$EP$61,52,FALSE)</f>
        <v>2</v>
      </c>
      <c r="O232" s="16">
        <f>VLOOKUP($A$230,'集計'!$A$4:$EP$61,56,FALSE)</f>
        <v>6.7</v>
      </c>
      <c r="P232" s="15">
        <f>VLOOKUP($A$230,'集計'!$A$4:$EP$61,60,FALSE)</f>
        <v>0</v>
      </c>
      <c r="Q232" s="16">
        <f>VLOOKUP($A$230,'集計'!$A$4:$EP$61,64,FALSE)</f>
        <v>0</v>
      </c>
      <c r="R232" s="15">
        <f>VLOOKUP($A$230,'集計'!$A$4:$EP$61,68,FALSE)</f>
        <v>55</v>
      </c>
      <c r="S232" s="16">
        <f>VLOOKUP($A$230,'集計'!$A$4:$EP$61,72,FALSE)</f>
        <v>130.03</v>
      </c>
      <c r="T232" s="32" t="s">
        <v>23</v>
      </c>
      <c r="U232" s="15">
        <f>VLOOKUP($A$230,'集計'!$A$4:$EP$61,76,FALSE)</f>
        <v>40</v>
      </c>
      <c r="V232" s="16">
        <f>VLOOKUP($A$230,'集計'!$A$4:$EP$61,80,FALSE)</f>
        <v>10.56</v>
      </c>
      <c r="W232" s="15">
        <f>VLOOKUP($A$230,'集計'!$A$4:$EP$61,84,FALSE)</f>
        <v>5</v>
      </c>
      <c r="X232" s="16">
        <f>VLOOKUP($A$230,'集計'!$A$4:$EP$61,88,FALSE)</f>
        <v>10.5</v>
      </c>
      <c r="Y232" s="15">
        <f>VLOOKUP($A$230,'集計'!$A$4:$EP$61,92,FALSE)</f>
        <v>2</v>
      </c>
      <c r="Z232" s="16">
        <f>VLOOKUP($A$230,'集計'!$A$4:$EP$61,96,FALSE)</f>
        <v>10.6</v>
      </c>
      <c r="AA232" s="15">
        <f>VLOOKUP($A$230,'集計'!$A$4:$EP$61,100,FALSE)</f>
        <v>3</v>
      </c>
      <c r="AB232" s="16">
        <f>VLOOKUP($A$230,'集計'!$A$4:$EP$61,104,FALSE)</f>
        <v>36</v>
      </c>
      <c r="AC232" s="15">
        <f>VLOOKUP($A$230,'集計'!$A$4:$EP$61,108,FALSE)</f>
        <v>1</v>
      </c>
      <c r="AD232" s="16">
        <f>VLOOKUP($A$230,'集計'!$A$4:$EP$61,112,FALSE)</f>
        <v>13</v>
      </c>
      <c r="AE232" s="15">
        <f>VLOOKUP($A$230,'集計'!$A$4:$EP$61,116,FALSE)</f>
        <v>2</v>
      </c>
      <c r="AF232" s="16">
        <f>VLOOKUP($A$230,'集計'!$A$4:$EP$61,120,FALSE)</f>
        <v>3.6</v>
      </c>
      <c r="AG232" s="15">
        <f>VLOOKUP($A$230,'集計'!$A$4:$EP$61,124,FALSE)</f>
        <v>2</v>
      </c>
      <c r="AH232" s="16">
        <f>VLOOKUP($A$230,'集計'!$A$4:$EP$61,128,FALSE)</f>
        <v>5.1</v>
      </c>
      <c r="AI232" s="15">
        <f>VLOOKUP($A$230,'集計'!$A$4:$EP$61,132,FALSE)</f>
        <v>0</v>
      </c>
      <c r="AJ232" s="16">
        <f>VLOOKUP($A$230,'集計'!$A$4:$EP$61,136,FALSE)</f>
        <v>0</v>
      </c>
      <c r="AK232" s="15">
        <f>VLOOKUP($A$230,'集計'!$A$4:$EP$61,140,FALSE)</f>
        <v>55</v>
      </c>
      <c r="AL232" s="16">
        <f>VLOOKUP($A$230,'集計'!$A$4:$EP$61,144,FALSE)</f>
        <v>89.36</v>
      </c>
    </row>
    <row r="233" spans="1:38" ht="13.5">
      <c r="A233" s="32" t="s">
        <v>24</v>
      </c>
      <c r="B233" s="15">
        <f>VLOOKUP($A$230,'集計'!$A$4:$EP$61,5,FALSE)</f>
        <v>44</v>
      </c>
      <c r="C233" s="16">
        <f>VLOOKUP($A$230,'集計'!$A$4:$EP$61,9,FALSE)</f>
        <v>11.21</v>
      </c>
      <c r="D233" s="15">
        <f>VLOOKUP($A$230,'集計'!$A$4:$EP$61,13,FALSE)</f>
        <v>23</v>
      </c>
      <c r="E233" s="16">
        <f>VLOOKUP($A$230,'集計'!$A$4:$EP$61,17,FALSE)</f>
        <v>42.76</v>
      </c>
      <c r="F233" s="15">
        <f>VLOOKUP($A$230,'集計'!$A$4:$EP$61,21,FALSE)</f>
        <v>10</v>
      </c>
      <c r="G233" s="16">
        <f>VLOOKUP($A$230,'集計'!$A$4:$EP$61,25,FALSE)</f>
        <v>49.5</v>
      </c>
      <c r="H233" s="15">
        <f>VLOOKUP($A$230,'集計'!$A$4:$EP$61,29,FALSE)</f>
        <v>11</v>
      </c>
      <c r="I233" s="16">
        <f>VLOOKUP($A$230,'集計'!$A$4:$EP$61,33,FALSE)</f>
        <v>182.1</v>
      </c>
      <c r="J233" s="15">
        <f>VLOOKUP($A$230,'集計'!$A$4:$EP$61,37,FALSE)</f>
        <v>4</v>
      </c>
      <c r="K233" s="16">
        <f>VLOOKUP($A$230,'集計'!$A$4:$EP$61,41,FALSE)</f>
        <v>155.5</v>
      </c>
      <c r="L233" s="15">
        <f>VLOOKUP($A$230,'集計'!$A$4:$EP$61,45,FALSE)</f>
        <v>3</v>
      </c>
      <c r="M233" s="16">
        <f>VLOOKUP($A$230,'集計'!$A$4:$EP$61,49,FALSE)</f>
        <v>15</v>
      </c>
      <c r="N233" s="15">
        <f>VLOOKUP($A$230,'集計'!$A$4:$EP$61,53,FALSE)</f>
        <v>3</v>
      </c>
      <c r="O233" s="16">
        <f>VLOOKUP($A$230,'集計'!$A$4:$EP$61,57,FALSE)</f>
        <v>16.4</v>
      </c>
      <c r="P233" s="15">
        <f>VLOOKUP($A$230,'集計'!$A$4:$EP$61,61,FALSE)</f>
        <v>2</v>
      </c>
      <c r="Q233" s="16">
        <f>VLOOKUP($A$230,'集計'!$A$4:$EP$61,65,FALSE)</f>
        <v>98.4</v>
      </c>
      <c r="R233" s="15">
        <f>VLOOKUP($A$230,'集計'!$A$4:$EP$61,69,FALSE)</f>
        <v>100</v>
      </c>
      <c r="S233" s="16">
        <f>VLOOKUP($A$230,'集計'!$A$4:$EP$61,73,FALSE)</f>
        <v>570.87</v>
      </c>
      <c r="T233" s="32" t="s">
        <v>24</v>
      </c>
      <c r="U233" s="15">
        <f>VLOOKUP($A$230,'集計'!$A$4:$EP$61,77,FALSE)</f>
        <v>42</v>
      </c>
      <c r="V233" s="16">
        <f>VLOOKUP($A$230,'集計'!$A$4:$EP$61,81,FALSE)</f>
        <v>10.83</v>
      </c>
      <c r="W233" s="15">
        <f>VLOOKUP($A$230,'集計'!$A$4:$EP$61,85,FALSE)</f>
        <v>24</v>
      </c>
      <c r="X233" s="16">
        <f>VLOOKUP($A$230,'集計'!$A$4:$EP$61,89,FALSE)</f>
        <v>41.2</v>
      </c>
      <c r="Y233" s="15">
        <f>VLOOKUP($A$230,'集計'!$A$4:$EP$61,93,FALSE)</f>
        <v>8</v>
      </c>
      <c r="Z233" s="16">
        <f>VLOOKUP($A$230,'集計'!$A$4:$EP$61,97,FALSE)</f>
        <v>36.7</v>
      </c>
      <c r="AA233" s="15">
        <f>VLOOKUP($A$230,'集計'!$A$4:$EP$61,101,FALSE)</f>
        <v>9</v>
      </c>
      <c r="AB233" s="16">
        <f>VLOOKUP($A$230,'集計'!$A$4:$EP$61,105,FALSE)</f>
        <v>161.7</v>
      </c>
      <c r="AC233" s="15">
        <f>VLOOKUP($A$230,'集計'!$A$4:$EP$61,109,FALSE)</f>
        <v>3</v>
      </c>
      <c r="AD233" s="16">
        <f>VLOOKUP($A$230,'集計'!$A$4:$EP$61,113,FALSE)</f>
        <v>143.6</v>
      </c>
      <c r="AE233" s="15">
        <f>VLOOKUP($A$230,'集計'!$A$4:$EP$61,117,FALSE)</f>
        <v>3</v>
      </c>
      <c r="AF233" s="16">
        <f>VLOOKUP($A$230,'集計'!$A$4:$EP$61,121,FALSE)</f>
        <v>15</v>
      </c>
      <c r="AG233" s="15">
        <f>VLOOKUP($A$230,'集計'!$A$4:$EP$61,125,FALSE)</f>
        <v>3</v>
      </c>
      <c r="AH233" s="16">
        <f>VLOOKUP($A$230,'集計'!$A$4:$EP$61,129,FALSE)</f>
        <v>11.1</v>
      </c>
      <c r="AI233" s="15">
        <f>VLOOKUP($A$230,'集計'!$A$4:$EP$61,133,FALSE)</f>
        <v>2</v>
      </c>
      <c r="AJ233" s="16">
        <f>VLOOKUP($A$230,'集計'!$A$4:$EP$61,137,FALSE)</f>
        <v>49.4</v>
      </c>
      <c r="AK233" s="15">
        <f>VLOOKUP($A$230,'集計'!$A$4:$EP$61,141,FALSE)</f>
        <v>94</v>
      </c>
      <c r="AL233" s="16">
        <f>VLOOKUP($A$230,'集計'!$A$4:$EP$61,145,FALSE)</f>
        <v>469.53</v>
      </c>
    </row>
    <row r="234" spans="1:38" ht="13.5">
      <c r="A234" s="32" t="s">
        <v>68</v>
      </c>
      <c r="B234" s="15">
        <f>VLOOKUP($A$234,'集計'!$A$4:$EP$61,6,FALSE)</f>
        <v>292</v>
      </c>
      <c r="C234" s="16">
        <f>VLOOKUP($A$234,'集計'!$A$4:$EP$61,10,FALSE)</f>
        <v>80.64</v>
      </c>
      <c r="D234" s="15">
        <f>VLOOKUP($A$234,'集計'!$A$4:$EP$61,14,FALSE)</f>
        <v>56</v>
      </c>
      <c r="E234" s="16">
        <f>VLOOKUP($A$234,'集計'!$A$4:$EP$61,18,FALSE)</f>
        <v>109.9</v>
      </c>
      <c r="F234" s="15">
        <f>VLOOKUP($A$234,'集計'!$A$4:$EP$61,22,FALSE)</f>
        <v>11</v>
      </c>
      <c r="G234" s="16">
        <f>VLOOKUP($A$234,'集計'!$A$4:$EP$61,26,FALSE)</f>
        <v>59.1</v>
      </c>
      <c r="H234" s="15">
        <f>VLOOKUP($A$234,'集計'!$A$4:$EP$61,30,FALSE)</f>
        <v>26</v>
      </c>
      <c r="I234" s="16">
        <f>VLOOKUP($A$234,'集計'!$A$4:$EP$61,34,FALSE)</f>
        <v>276.2</v>
      </c>
      <c r="J234" s="15">
        <f>VLOOKUP($A$234,'集計'!$A$4:$EP$61,38,FALSE)</f>
        <v>11</v>
      </c>
      <c r="K234" s="16">
        <f>VLOOKUP($A$234,'集計'!$A$4:$EP$61,42,FALSE)</f>
        <v>225.9</v>
      </c>
      <c r="L234" s="15">
        <f>VLOOKUP($A$234,'集計'!$A$4:$EP$61,46,FALSE)</f>
        <v>12</v>
      </c>
      <c r="M234" s="16">
        <f>VLOOKUP($A$234,'集計'!$A$4:$EP$61,50,FALSE)</f>
        <v>249.5</v>
      </c>
      <c r="N234" s="15">
        <f>VLOOKUP($A$234,'集計'!$A$4:$EP$61,54,FALSE)</f>
        <v>9</v>
      </c>
      <c r="O234" s="16">
        <f>VLOOKUP($A$234,'集計'!$A$4:$EP$61,58,FALSE)</f>
        <v>56.3</v>
      </c>
      <c r="P234" s="15">
        <f>VLOOKUP($A$234,'集計'!$A$4:$EP$61,62,FALSE)</f>
        <v>2</v>
      </c>
      <c r="Q234" s="16">
        <f>VLOOKUP($A$234,'集計'!$A$4:$EP$61,66,FALSE)</f>
        <v>297</v>
      </c>
      <c r="R234" s="15">
        <f>VLOOKUP($A$234,'集計'!$A$4:$EP$61,70,FALSE)</f>
        <v>419</v>
      </c>
      <c r="S234" s="16">
        <f>VLOOKUP($A$234,'集計'!$A$4:$EP$61,74,FALSE)</f>
        <v>1354.54</v>
      </c>
      <c r="T234" s="32" t="s">
        <v>68</v>
      </c>
      <c r="U234" s="15">
        <f>VLOOKUP($A$234,'集計'!$A$4:$EP$61,78,FALSE)</f>
        <v>268</v>
      </c>
      <c r="V234" s="16">
        <f>VLOOKUP($A$234,'集計'!$A$4:$EP$61,82,FALSE)</f>
        <v>71.41</v>
      </c>
      <c r="W234" s="15">
        <f>VLOOKUP($A$234,'集計'!$A$4:$EP$61,86,FALSE)</f>
        <v>43</v>
      </c>
      <c r="X234" s="16">
        <f>VLOOKUP($A$234,'集計'!$A$4:$EP$61,90,FALSE)</f>
        <v>67</v>
      </c>
      <c r="Y234" s="15">
        <f>VLOOKUP($A$234,'集計'!$A$4:$EP$61,94,FALSE)</f>
        <v>9</v>
      </c>
      <c r="Z234" s="16">
        <f>VLOOKUP($A$234,'集計'!$A$4:$EP$61,98,FALSE)</f>
        <v>46.3</v>
      </c>
      <c r="AA234" s="15">
        <f>VLOOKUP($A$234,'集計'!$A$4:$EP$61,102,FALSE)</f>
        <v>21</v>
      </c>
      <c r="AB234" s="16">
        <f>VLOOKUP($A$234,'集計'!$A$4:$EP$61,106,FALSE)</f>
        <v>182.3</v>
      </c>
      <c r="AC234" s="15">
        <f>VLOOKUP($A$234,'集計'!$A$4:$EP$61,110,FALSE)</f>
        <v>8</v>
      </c>
      <c r="AD234" s="16">
        <f>VLOOKUP($A$234,'集計'!$A$4:$EP$61,114,FALSE)</f>
        <v>146.9</v>
      </c>
      <c r="AE234" s="15">
        <f>VLOOKUP($A$234,'集計'!$A$4:$EP$61,118,FALSE)</f>
        <v>9</v>
      </c>
      <c r="AF234" s="16">
        <f>VLOOKUP($A$234,'集計'!$A$4:$EP$61,122,FALSE)</f>
        <v>47.9</v>
      </c>
      <c r="AG234" s="15">
        <f>VLOOKUP($A$234,'集計'!$A$4:$EP$61,126,FALSE)</f>
        <v>5</v>
      </c>
      <c r="AH234" s="16">
        <f>VLOOKUP($A$234,'集計'!$A$4:$EP$61,130,FALSE)</f>
        <v>33.3</v>
      </c>
      <c r="AI234" s="15">
        <f>VLOOKUP($A$234,'集計'!$A$4:$EP$61,134,FALSE)</f>
        <v>2</v>
      </c>
      <c r="AJ234" s="16">
        <f>VLOOKUP($A$234,'集計'!$A$4:$EP$61,138,FALSE)</f>
        <v>199.3</v>
      </c>
      <c r="AK234" s="15">
        <f>VLOOKUP($A$234,'集計'!$A$4:$EP$61,142,FALSE)</f>
        <v>365</v>
      </c>
      <c r="AL234" s="16">
        <f>VLOOKUP($A$234,'集計'!$A$4:$EP$61,146,FALSE)</f>
        <v>794.41</v>
      </c>
    </row>
    <row r="235" spans="1:38" ht="13.5">
      <c r="A235" s="32" t="s">
        <v>22</v>
      </c>
      <c r="B235" s="15">
        <f>VLOOKUP($A$234,'集計'!$A$4:$EP$61,3,FALSE)</f>
        <v>169</v>
      </c>
      <c r="C235" s="16">
        <f>VLOOKUP($A$234,'集計'!$A$4:$EP$61,7,FALSE)</f>
        <v>48.21</v>
      </c>
      <c r="D235" s="15">
        <f>VLOOKUP($A$234,'集計'!$A$4:$EP$61,11,FALSE)</f>
        <v>27</v>
      </c>
      <c r="E235" s="16">
        <f>VLOOKUP($A$234,'集計'!$A$4:$EP$61,15,FALSE)</f>
        <v>57.6</v>
      </c>
      <c r="F235" s="15">
        <f>VLOOKUP($A$234,'集計'!$A$4:$EP$61,19,FALSE)</f>
        <v>3</v>
      </c>
      <c r="G235" s="16">
        <f>VLOOKUP($A$234,'集計'!$A$4:$EP$61,23,FALSE)</f>
        <v>15.5</v>
      </c>
      <c r="H235" s="15">
        <f>VLOOKUP($A$234,'集計'!$A$4:$EP$61,27,FALSE)</f>
        <v>9</v>
      </c>
      <c r="I235" s="16">
        <f>VLOOKUP($A$234,'集計'!$A$4:$EP$61,31,FALSE)</f>
        <v>104</v>
      </c>
      <c r="J235" s="15">
        <f>VLOOKUP($A$234,'集計'!$A$4:$EP$61,35,FALSE)</f>
        <v>5</v>
      </c>
      <c r="K235" s="16">
        <f>VLOOKUP($A$234,'集計'!$A$4:$EP$61,39,FALSE)</f>
        <v>84.5</v>
      </c>
      <c r="L235" s="15">
        <f>VLOOKUP($A$234,'集計'!$A$4:$EP$61,43,FALSE)</f>
        <v>1</v>
      </c>
      <c r="M235" s="16">
        <f>VLOOKUP($A$234,'集計'!$A$4:$EP$61,47,FALSE)</f>
        <v>14</v>
      </c>
      <c r="N235" s="15">
        <f>VLOOKUP($A$234,'集計'!$A$4:$EP$61,51,FALSE)</f>
        <v>3</v>
      </c>
      <c r="O235" s="16">
        <f>VLOOKUP($A$234,'集計'!$A$4:$EP$61,55,FALSE)</f>
        <v>19.2</v>
      </c>
      <c r="P235" s="15">
        <f>VLOOKUP($A$234,'集計'!$A$4:$EP$61,59,FALSE)</f>
        <v>0</v>
      </c>
      <c r="Q235" s="16">
        <f>VLOOKUP($A$234,'集計'!$A$4:$EP$61,63,FALSE)</f>
        <v>0</v>
      </c>
      <c r="R235" s="15">
        <f>VLOOKUP($A$234,'集計'!$A$4:$EP$61,67,FALSE)</f>
        <v>217</v>
      </c>
      <c r="S235" s="16">
        <f>VLOOKUP($A$234,'集計'!$A$4:$EP$61,71,FALSE)</f>
        <v>343.01</v>
      </c>
      <c r="T235" s="32" t="s">
        <v>22</v>
      </c>
      <c r="U235" s="15">
        <f>VLOOKUP($A$234,'集計'!$A$4:$EP$61,75,FALSE)</f>
        <v>156</v>
      </c>
      <c r="V235" s="16">
        <f>VLOOKUP($A$234,'集計'!$A$4:$EP$61,79,FALSE)</f>
        <v>43.43</v>
      </c>
      <c r="W235" s="15">
        <f>VLOOKUP($A$234,'集計'!$A$4:$EP$61,83,FALSE)</f>
        <v>21</v>
      </c>
      <c r="X235" s="16">
        <f>VLOOKUP($A$234,'集計'!$A$4:$EP$61,87,FALSE)</f>
        <v>35.6</v>
      </c>
      <c r="Y235" s="15">
        <f>VLOOKUP($A$234,'集計'!$A$4:$EP$61,91,FALSE)</f>
        <v>3</v>
      </c>
      <c r="Z235" s="16">
        <f>VLOOKUP($A$234,'集計'!$A$4:$EP$61,95,FALSE)</f>
        <v>13.5</v>
      </c>
      <c r="AA235" s="15">
        <f>VLOOKUP($A$234,'集計'!$A$4:$EP$61,99,FALSE)</f>
        <v>8</v>
      </c>
      <c r="AB235" s="16">
        <f>VLOOKUP($A$234,'集計'!$A$4:$EP$61,103,FALSE)</f>
        <v>84.6</v>
      </c>
      <c r="AC235" s="15">
        <f>VLOOKUP($A$234,'集計'!$A$4:$EP$61,107,FALSE)</f>
        <v>4</v>
      </c>
      <c r="AD235" s="16">
        <f>VLOOKUP($A$234,'集計'!$A$4:$EP$61,111,FALSE)</f>
        <v>44.6</v>
      </c>
      <c r="AE235" s="15">
        <f>VLOOKUP($A$234,'集計'!$A$4:$EP$61,115,FALSE)</f>
        <v>1</v>
      </c>
      <c r="AF235" s="16">
        <f>VLOOKUP($A$234,'集計'!$A$4:$EP$61,119,FALSE)</f>
        <v>13</v>
      </c>
      <c r="AG235" s="15">
        <f>VLOOKUP($A$234,'集計'!$A$4:$EP$61,123,FALSE)</f>
        <v>2</v>
      </c>
      <c r="AH235" s="16">
        <f>VLOOKUP($A$234,'集計'!$A$4:$EP$61,127,FALSE)</f>
        <v>1.7</v>
      </c>
      <c r="AI235" s="15">
        <f>VLOOKUP($A$234,'集計'!$A$4:$EP$61,131,FALSE)</f>
        <v>0</v>
      </c>
      <c r="AJ235" s="16">
        <f>VLOOKUP($A$234,'集計'!$A$4:$EP$61,135,FALSE)</f>
        <v>0</v>
      </c>
      <c r="AK235" s="15">
        <f>VLOOKUP($A$234,'集計'!$A$4:$EP$61,139,FALSE)</f>
        <v>195</v>
      </c>
      <c r="AL235" s="16">
        <f>VLOOKUP($A$234,'集計'!$A$4:$EP$61,143,FALSE)</f>
        <v>236.43</v>
      </c>
    </row>
    <row r="236" spans="1:38" ht="13.5">
      <c r="A236" s="32" t="s">
        <v>23</v>
      </c>
      <c r="B236" s="15">
        <f>VLOOKUP($A$234,'集計'!$A$4:$EP$61,4,FALSE)</f>
        <v>113</v>
      </c>
      <c r="C236" s="16">
        <f>VLOOKUP($A$234,'集計'!$A$4:$EP$61,8,FALSE)</f>
        <v>29.84</v>
      </c>
      <c r="D236" s="15">
        <f>VLOOKUP($A$234,'集計'!$A$4:$EP$61,(12),FALSE)</f>
        <v>24</v>
      </c>
      <c r="E236" s="16">
        <f>VLOOKUP($A$234,'集計'!$A$4:$EP$61,16,FALSE)</f>
        <v>40.8</v>
      </c>
      <c r="F236" s="15">
        <f>VLOOKUP($A$234,'集計'!$A$4:$EP$61,20,FALSE)</f>
        <v>4</v>
      </c>
      <c r="G236" s="16">
        <f>VLOOKUP($A$234,'集計'!$A$4:$EP$61,24,FALSE)</f>
        <v>20.4</v>
      </c>
      <c r="H236" s="15">
        <f>VLOOKUP($A$234,'集計'!$A$4:$EP$61,28,FALSE)</f>
        <v>12</v>
      </c>
      <c r="I236" s="16">
        <f>VLOOKUP($A$234,'集計'!$A$4:$EP$61,32,FALSE)</f>
        <v>107.7</v>
      </c>
      <c r="J236" s="15">
        <f>VLOOKUP($A$234,'集計'!$A$4:$EP$61,36,FALSE)</f>
        <v>4</v>
      </c>
      <c r="K236" s="16">
        <f>VLOOKUP($A$234,'集計'!$A$4:$EP$61,40,FALSE)</f>
        <v>84.1</v>
      </c>
      <c r="L236" s="15">
        <f>VLOOKUP($A$234,'集計'!$A$4:$EP$61,44,FALSE)</f>
        <v>7</v>
      </c>
      <c r="M236" s="16">
        <f>VLOOKUP($A$234,'集計'!$A$4:$EP$61,48,FALSE)</f>
        <v>149.6</v>
      </c>
      <c r="N236" s="15">
        <f>VLOOKUP($A$234,'集計'!$A$4:$EP$61,52,FALSE)</f>
        <v>2</v>
      </c>
      <c r="O236" s="16">
        <f>VLOOKUP($A$234,'集計'!$A$4:$EP$61,56,FALSE)</f>
        <v>6.4</v>
      </c>
      <c r="P236" s="15">
        <f>VLOOKUP($A$234,'集計'!$A$4:$EP$61,60,FALSE)</f>
        <v>0</v>
      </c>
      <c r="Q236" s="16">
        <f>VLOOKUP($A$234,'集計'!$A$4:$EP$61,64,FALSE)</f>
        <v>0</v>
      </c>
      <c r="R236" s="15">
        <f>VLOOKUP($A$234,'集計'!$A$4:$EP$61,68,FALSE)</f>
        <v>166</v>
      </c>
      <c r="S236" s="16">
        <f>VLOOKUP($A$234,'集計'!$A$4:$EP$61,72,FALSE)</f>
        <v>438.84</v>
      </c>
      <c r="T236" s="32" t="s">
        <v>23</v>
      </c>
      <c r="U236" s="15">
        <f>VLOOKUP($A$234,'集計'!$A$4:$EP$61,76,FALSE)</f>
        <v>102</v>
      </c>
      <c r="V236" s="16">
        <f>VLOOKUP($A$234,'集計'!$A$4:$EP$61,80,FALSE)</f>
        <v>25.39</v>
      </c>
      <c r="W236" s="15">
        <f>VLOOKUP($A$234,'集計'!$A$4:$EP$61,84,FALSE)</f>
        <v>19</v>
      </c>
      <c r="X236" s="16">
        <f>VLOOKUP($A$234,'集計'!$A$4:$EP$61,88,FALSE)</f>
        <v>28.3</v>
      </c>
      <c r="Y236" s="15">
        <f>VLOOKUP($A$234,'集計'!$A$4:$EP$61,92,FALSE)</f>
        <v>2</v>
      </c>
      <c r="Z236" s="16">
        <f>VLOOKUP($A$234,'集計'!$A$4:$EP$61,96,FALSE)</f>
        <v>11.8</v>
      </c>
      <c r="AA236" s="15">
        <f>VLOOKUP($A$234,'集計'!$A$4:$EP$61,100,FALSE)</f>
        <v>9</v>
      </c>
      <c r="AB236" s="16">
        <f>VLOOKUP($A$234,'集計'!$A$4:$EP$61,104,FALSE)</f>
        <v>47.5</v>
      </c>
      <c r="AC236" s="15">
        <f>VLOOKUP($A$234,'集計'!$A$4:$EP$61,108,FALSE)</f>
        <v>2</v>
      </c>
      <c r="AD236" s="16">
        <f>VLOOKUP($A$234,'集計'!$A$4:$EP$61,112,FALSE)</f>
        <v>48.5</v>
      </c>
      <c r="AE236" s="15">
        <f>VLOOKUP($A$234,'集計'!$A$4:$EP$61,116,FALSE)</f>
        <v>5</v>
      </c>
      <c r="AF236" s="16">
        <f>VLOOKUP($A$234,'集計'!$A$4:$EP$61,120,FALSE)</f>
        <v>24</v>
      </c>
      <c r="AG236" s="15">
        <f>VLOOKUP($A$234,'集計'!$A$4:$EP$61,124,FALSE)</f>
        <v>1</v>
      </c>
      <c r="AH236" s="16">
        <f>VLOOKUP($A$234,'集計'!$A$4:$EP$61,128,FALSE)</f>
        <v>5.7</v>
      </c>
      <c r="AI236" s="15">
        <f>VLOOKUP($A$234,'集計'!$A$4:$EP$61,132,FALSE)</f>
        <v>0</v>
      </c>
      <c r="AJ236" s="16">
        <f>VLOOKUP($A$234,'集計'!$A$4:$EP$61,136,FALSE)</f>
        <v>0</v>
      </c>
      <c r="AK236" s="15">
        <f>VLOOKUP($A$234,'集計'!$A$4:$EP$61,140,FALSE)</f>
        <v>140</v>
      </c>
      <c r="AL236" s="16">
        <f>VLOOKUP($A$234,'集計'!$A$4:$EP$61,144,FALSE)</f>
        <v>191.19</v>
      </c>
    </row>
    <row r="237" spans="1:38" ht="13.5">
      <c r="A237" s="32" t="s">
        <v>24</v>
      </c>
      <c r="B237" s="15">
        <f>VLOOKUP($A$234,'集計'!$A$4:$EP$61,5,FALSE)</f>
        <v>10</v>
      </c>
      <c r="C237" s="16">
        <f>VLOOKUP($A$234,'集計'!$A$4:$EP$61,9,FALSE)</f>
        <v>2.59</v>
      </c>
      <c r="D237" s="15">
        <f>VLOOKUP($A$234,'集計'!$A$4:$EP$61,13,FALSE)</f>
        <v>5</v>
      </c>
      <c r="E237" s="16">
        <f>VLOOKUP($A$234,'集計'!$A$4:$EP$61,17,FALSE)</f>
        <v>11.5</v>
      </c>
      <c r="F237" s="15">
        <f>VLOOKUP($A$234,'集計'!$A$4:$EP$61,21,FALSE)</f>
        <v>4</v>
      </c>
      <c r="G237" s="16">
        <f>VLOOKUP($A$234,'集計'!$A$4:$EP$61,25,FALSE)</f>
        <v>23.2</v>
      </c>
      <c r="H237" s="15">
        <f>VLOOKUP($A$234,'集計'!$A$4:$EP$61,29,FALSE)</f>
        <v>5</v>
      </c>
      <c r="I237" s="16">
        <f>VLOOKUP($A$234,'集計'!$A$4:$EP$61,33,FALSE)</f>
        <v>64.5</v>
      </c>
      <c r="J237" s="15">
        <f>VLOOKUP($A$234,'集計'!$A$4:$EP$61,37,FALSE)</f>
        <v>2</v>
      </c>
      <c r="K237" s="16">
        <f>VLOOKUP($A$234,'集計'!$A$4:$EP$61,41,FALSE)</f>
        <v>57.3</v>
      </c>
      <c r="L237" s="15">
        <f>VLOOKUP($A$234,'集計'!$A$4:$EP$61,45,FALSE)</f>
        <v>4</v>
      </c>
      <c r="M237" s="16">
        <f>VLOOKUP($A$234,'集計'!$A$4:$EP$61,49,FALSE)</f>
        <v>85.9</v>
      </c>
      <c r="N237" s="15">
        <f>VLOOKUP($A$234,'集計'!$A$4:$EP$61,53,FALSE)</f>
        <v>4</v>
      </c>
      <c r="O237" s="16">
        <f>VLOOKUP($A$234,'集計'!$A$4:$EP$61,57,FALSE)</f>
        <v>30.7</v>
      </c>
      <c r="P237" s="15">
        <f>VLOOKUP($A$234,'集計'!$A$4:$EP$61,61,FALSE)</f>
        <v>2</v>
      </c>
      <c r="Q237" s="16">
        <f>VLOOKUP($A$234,'集計'!$A$4:$EP$61,65,FALSE)</f>
        <v>297</v>
      </c>
      <c r="R237" s="15">
        <f>VLOOKUP($A$234,'集計'!$A$4:$EP$61,69,FALSE)</f>
        <v>36</v>
      </c>
      <c r="S237" s="16">
        <f>VLOOKUP($A$234,'集計'!$A$4:$EP$61,73,FALSE)</f>
        <v>572.69</v>
      </c>
      <c r="T237" s="32" t="s">
        <v>24</v>
      </c>
      <c r="U237" s="15">
        <f>VLOOKUP($A$234,'集計'!$A$4:$EP$61,77,FALSE)</f>
        <v>10</v>
      </c>
      <c r="V237" s="16">
        <f>VLOOKUP($A$234,'集計'!$A$4:$EP$61,81,FALSE)</f>
        <v>2.59</v>
      </c>
      <c r="W237" s="15">
        <f>VLOOKUP($A$234,'集計'!$A$4:$EP$61,85,FALSE)</f>
        <v>3</v>
      </c>
      <c r="X237" s="16">
        <f>VLOOKUP($A$234,'集計'!$A$4:$EP$61,89,FALSE)</f>
        <v>3.1</v>
      </c>
      <c r="Y237" s="15">
        <f>VLOOKUP($A$234,'集計'!$A$4:$EP$61,93,FALSE)</f>
        <v>4</v>
      </c>
      <c r="Z237" s="16">
        <f>VLOOKUP($A$234,'集計'!$A$4:$EP$61,97,FALSE)</f>
        <v>21</v>
      </c>
      <c r="AA237" s="15">
        <f>VLOOKUP($A$234,'集計'!$A$4:$EP$61,101,FALSE)</f>
        <v>4</v>
      </c>
      <c r="AB237" s="16">
        <f>VLOOKUP($A$234,'集計'!$A$4:$EP$61,105,FALSE)</f>
        <v>50.2</v>
      </c>
      <c r="AC237" s="15">
        <f>VLOOKUP($A$234,'集計'!$A$4:$EP$61,109,FALSE)</f>
        <v>2</v>
      </c>
      <c r="AD237" s="16">
        <f>VLOOKUP($A$234,'集計'!$A$4:$EP$61,113,FALSE)</f>
        <v>53.8</v>
      </c>
      <c r="AE237" s="15">
        <f>VLOOKUP($A$234,'集計'!$A$4:$EP$61,117,FALSE)</f>
        <v>3</v>
      </c>
      <c r="AF237" s="16">
        <f>VLOOKUP($A$234,'集計'!$A$4:$EP$61,121,FALSE)</f>
        <v>10.9</v>
      </c>
      <c r="AG237" s="15">
        <f>VLOOKUP($A$234,'集計'!$A$4:$EP$61,125,FALSE)</f>
        <v>2</v>
      </c>
      <c r="AH237" s="16">
        <f>VLOOKUP($A$234,'集計'!$A$4:$EP$61,129,FALSE)</f>
        <v>25.9</v>
      </c>
      <c r="AI237" s="15">
        <f>VLOOKUP($A$234,'集計'!$A$4:$EP$61,133,FALSE)</f>
        <v>2</v>
      </c>
      <c r="AJ237" s="16">
        <f>VLOOKUP($A$234,'集計'!$A$4:$EP$61,137,FALSE)</f>
        <v>199.3</v>
      </c>
      <c r="AK237" s="15">
        <f>VLOOKUP($A$234,'集計'!$A$4:$EP$61,141,FALSE)</f>
        <v>30</v>
      </c>
      <c r="AL237" s="16">
        <f>VLOOKUP($A$234,'集計'!$A$4:$EP$61,145,FALSE)</f>
        <v>366.79</v>
      </c>
    </row>
    <row r="238" spans="1:39" ht="13.5">
      <c r="A238" s="32" t="s">
        <v>69</v>
      </c>
      <c r="B238" s="15">
        <f>VLOOKUP($A$238,'集計'!$A$4:$EP$61,6,FALSE)</f>
        <v>462</v>
      </c>
      <c r="C238" s="16">
        <f>VLOOKUP($A$238,'集計'!$A$4:$EP$61,10,FALSE)</f>
        <v>110.49</v>
      </c>
      <c r="D238" s="15">
        <f>VLOOKUP($A$238,'集計'!$A$4:$EP$61,14,FALSE)</f>
        <v>49</v>
      </c>
      <c r="E238" s="16">
        <f>VLOOKUP($A$238,'集計'!$A$4:$EP$61,18,FALSE)</f>
        <v>93.7</v>
      </c>
      <c r="F238" s="15">
        <f>VLOOKUP($A$238,'集計'!$A$4:$EP$61,22,FALSE)</f>
        <v>13</v>
      </c>
      <c r="G238" s="16">
        <f>VLOOKUP($A$238,'集計'!$A$4:$EP$61,26,FALSE)</f>
        <v>89.9</v>
      </c>
      <c r="H238" s="15">
        <f>VLOOKUP($A$238,'集計'!$A$4:$EP$61,30,FALSE)</f>
        <v>18</v>
      </c>
      <c r="I238" s="16">
        <f>VLOOKUP($A$238,'集計'!$A$4:$EP$61,34,FALSE)</f>
        <v>472.5</v>
      </c>
      <c r="J238" s="15">
        <f>VLOOKUP($A$238,'集計'!$A$4:$EP$61,38,FALSE)</f>
        <v>20</v>
      </c>
      <c r="K238" s="16">
        <f>VLOOKUP($A$238,'集計'!$A$4:$EP$61,42,FALSE)</f>
        <v>408.3</v>
      </c>
      <c r="L238" s="15">
        <f>VLOOKUP($A$238,'集計'!$A$4:$EP$61,46,FALSE)</f>
        <v>9</v>
      </c>
      <c r="M238" s="16">
        <f>VLOOKUP($A$238,'集計'!$A$4:$EP$61,50,FALSE)</f>
        <v>194</v>
      </c>
      <c r="N238" s="15">
        <f>VLOOKUP($A$238,'集計'!$A$4:$EP$61,54,FALSE)</f>
        <v>7</v>
      </c>
      <c r="O238" s="16">
        <f>VLOOKUP($A$238,'集計'!$A$4:$EP$61,58,FALSE)</f>
        <v>118.6</v>
      </c>
      <c r="P238" s="15">
        <f>VLOOKUP($A$238,'集計'!$A$4:$EP$61,62,FALSE)</f>
        <v>2</v>
      </c>
      <c r="Q238" s="16">
        <f>VLOOKUP($A$238,'集計'!$A$4:$EP$61,66,FALSE)</f>
        <v>544.9</v>
      </c>
      <c r="R238" s="15">
        <f>VLOOKUP($A$238,'集計'!$A$4:$EP$61,70,FALSE)</f>
        <v>580</v>
      </c>
      <c r="S238" s="16">
        <f>VLOOKUP($A$238,'集計'!$A$4:$EP$61,74,FALSE)</f>
        <v>2032.39</v>
      </c>
      <c r="T238" s="32" t="s">
        <v>69</v>
      </c>
      <c r="U238" s="15">
        <f>VLOOKUP($A$238,'集計'!$A$4:$EP$61,78,FALSE)</f>
        <v>448</v>
      </c>
      <c r="V238" s="16">
        <f>VLOOKUP($A$238,'集計'!$A$4:$EP$61,82,FALSE)</f>
        <v>106.35</v>
      </c>
      <c r="W238" s="15">
        <f>VLOOKUP($A$238,'集計'!$A$4:$EP$61,86,FALSE)</f>
        <v>44</v>
      </c>
      <c r="X238" s="16">
        <f>VLOOKUP($A$238,'集計'!$A$4:$EP$61,90,FALSE)</f>
        <v>84</v>
      </c>
      <c r="Y238" s="15">
        <f>VLOOKUP($A$238,'集計'!$A$4:$EP$61,94,FALSE)</f>
        <v>13</v>
      </c>
      <c r="Z238" s="16">
        <f>VLOOKUP($A$238,'集計'!$A$4:$EP$61,98,FALSE)</f>
        <v>78.8</v>
      </c>
      <c r="AA238" s="15">
        <f>VLOOKUP($A$238,'集計'!$A$4:$EP$61,102,FALSE)</f>
        <v>18</v>
      </c>
      <c r="AB238" s="16">
        <f>VLOOKUP($A$238,'集計'!$A$4:$EP$61,106,FALSE)</f>
        <v>356.8</v>
      </c>
      <c r="AC238" s="15">
        <f>VLOOKUP($A$238,'集計'!$A$4:$EP$61,110,FALSE)</f>
        <v>20</v>
      </c>
      <c r="AD238" s="16">
        <f>VLOOKUP($A$238,'集計'!$A$4:$EP$61,114,FALSE)</f>
        <v>334.2</v>
      </c>
      <c r="AE238" s="15">
        <f>VLOOKUP($A$238,'集計'!$A$4:$EP$61,118,FALSE)</f>
        <v>8</v>
      </c>
      <c r="AF238" s="16">
        <f>VLOOKUP($A$238,'集計'!$A$4:$EP$61,122,FALSE)</f>
        <v>148.8</v>
      </c>
      <c r="AG238" s="15">
        <f>VLOOKUP($A$238,'集計'!$A$4:$EP$61,126,FALSE)</f>
        <v>7</v>
      </c>
      <c r="AH238" s="16">
        <f>VLOOKUP($A$238,'集計'!$A$4:$EP$61,130,FALSE)</f>
        <v>109.51</v>
      </c>
      <c r="AI238" s="15">
        <f>VLOOKUP($A$238,'集計'!$A$4:$EP$61,134,FALSE)</f>
        <v>2</v>
      </c>
      <c r="AJ238" s="16">
        <f>VLOOKUP($A$238,'集計'!$A$4:$EP$61,138,FALSE)</f>
        <v>282.4</v>
      </c>
      <c r="AK238" s="15">
        <f>VLOOKUP($A$238,'集計'!$A$4:$EP$61,142,FALSE)</f>
        <v>560</v>
      </c>
      <c r="AL238" s="16">
        <f>VLOOKUP($A$238,'集計'!$A$4:$EP$61,146,FALSE)</f>
        <v>1500.86</v>
      </c>
      <c r="AM238" s="26"/>
    </row>
    <row r="239" spans="1:39" ht="13.5">
      <c r="A239" s="32" t="s">
        <v>22</v>
      </c>
      <c r="B239" s="15">
        <f>VLOOKUP($A$238,'集計'!$A$4:$EP$61,3,FALSE)</f>
        <v>308</v>
      </c>
      <c r="C239" s="16">
        <f>VLOOKUP($A$238,'集計'!$A$4:$EP$61,7,FALSE)</f>
        <v>73.75</v>
      </c>
      <c r="D239" s="15">
        <f>VLOOKUP($A$238,'集計'!$A$4:$EP$61,11,FALSE)</f>
        <v>17</v>
      </c>
      <c r="E239" s="16">
        <f>VLOOKUP($A$238,'集計'!$A$4:$EP$61,15,FALSE)</f>
        <v>39.4</v>
      </c>
      <c r="F239" s="15">
        <f>VLOOKUP($A$238,'集計'!$A$4:$EP$61,19,FALSE)</f>
        <v>4</v>
      </c>
      <c r="G239" s="16">
        <f>VLOOKUP($A$238,'集計'!$A$4:$EP$61,23,FALSE)</f>
        <v>30.1</v>
      </c>
      <c r="H239" s="15">
        <f>VLOOKUP($A$238,'集計'!$A$4:$EP$61,27,FALSE)</f>
        <v>3</v>
      </c>
      <c r="I239" s="16">
        <f>VLOOKUP($A$238,'集計'!$A$4:$EP$61,31,FALSE)</f>
        <v>29.5</v>
      </c>
      <c r="J239" s="15">
        <f>VLOOKUP($A$238,'集計'!$A$4:$EP$61,35,FALSE)</f>
        <v>3</v>
      </c>
      <c r="K239" s="16">
        <f>VLOOKUP($A$238,'集計'!$A$4:$EP$61,39,FALSE)</f>
        <v>63.2</v>
      </c>
      <c r="L239" s="15">
        <f>VLOOKUP($A$238,'集計'!$A$4:$EP$61,43,FALSE)</f>
        <v>1</v>
      </c>
      <c r="M239" s="16">
        <f>VLOOKUP($A$238,'集計'!$A$4:$EP$61,47,FALSE)</f>
        <v>8.5</v>
      </c>
      <c r="N239" s="15">
        <f>VLOOKUP($A$238,'集計'!$A$4:$EP$61,51,FALSE)</f>
        <v>2</v>
      </c>
      <c r="O239" s="16">
        <f>VLOOKUP($A$238,'集計'!$A$4:$EP$61,55,FALSE)</f>
        <v>17.1</v>
      </c>
      <c r="P239" s="15">
        <f>VLOOKUP($A$238,'集計'!$A$4:$EP$61,59,FALSE)</f>
        <v>0</v>
      </c>
      <c r="Q239" s="16">
        <f>VLOOKUP($A$238,'集計'!$A$4:$EP$61,63,FALSE)</f>
        <v>0</v>
      </c>
      <c r="R239" s="15">
        <f>VLOOKUP($A$238,'集計'!$A$4:$EP$61,67,FALSE)</f>
        <v>338</v>
      </c>
      <c r="S239" s="16">
        <f>VLOOKUP($A$238,'集計'!$A$4:$EP$61,71,FALSE)</f>
        <v>261.55</v>
      </c>
      <c r="T239" s="32" t="s">
        <v>22</v>
      </c>
      <c r="U239" s="15">
        <f>VLOOKUP($A$238,'集計'!$A$4:$EP$61,75,FALSE)</f>
        <v>302</v>
      </c>
      <c r="V239" s="16">
        <f>VLOOKUP($A$238,'集計'!$A$4:$EP$61,79,FALSE)</f>
        <v>71.56</v>
      </c>
      <c r="W239" s="15">
        <f>VLOOKUP($A$238,'集計'!$A$4:$EP$61,83,FALSE)</f>
        <v>16</v>
      </c>
      <c r="X239" s="16">
        <f>VLOOKUP($A$238,'集計'!$A$4:$EP$61,87,FALSE)</f>
        <v>36.8</v>
      </c>
      <c r="Y239" s="15">
        <f>VLOOKUP($A$238,'集計'!$A$4:$EP$61,91,FALSE)</f>
        <v>4</v>
      </c>
      <c r="Z239" s="16">
        <f>VLOOKUP($A$238,'集計'!$A$4:$EP$61,95,FALSE)</f>
        <v>30.1</v>
      </c>
      <c r="AA239" s="15">
        <f>VLOOKUP($A$238,'集計'!$A$4:$EP$61,99,FALSE)</f>
        <v>3</v>
      </c>
      <c r="AB239" s="16">
        <f>VLOOKUP($A$238,'集計'!$A$4:$EP$61,103,FALSE)</f>
        <v>23.3</v>
      </c>
      <c r="AC239" s="15">
        <f>VLOOKUP($A$238,'集計'!$A$4:$EP$61,107,FALSE)</f>
        <v>3</v>
      </c>
      <c r="AD239" s="16">
        <f>VLOOKUP($A$238,'集計'!$A$4:$EP$61,111,FALSE)</f>
        <v>60.8</v>
      </c>
      <c r="AE239" s="15">
        <f>VLOOKUP($A$238,'集計'!$A$4:$EP$61,115,FALSE)</f>
        <v>1</v>
      </c>
      <c r="AF239" s="16">
        <f>VLOOKUP($A$238,'集計'!$A$4:$EP$61,119,FALSE)</f>
        <v>4.2</v>
      </c>
      <c r="AG239" s="15">
        <f>VLOOKUP($A$238,'集計'!$A$4:$EP$61,123,FALSE)</f>
        <v>2</v>
      </c>
      <c r="AH239" s="16">
        <f>VLOOKUP($A$238,'集計'!$A$4:$EP$61,127,FALSE)</f>
        <v>14.4</v>
      </c>
      <c r="AI239" s="15">
        <f>VLOOKUP($A$238,'集計'!$A$4:$EP$61,131,FALSE)</f>
        <v>0</v>
      </c>
      <c r="AJ239" s="16">
        <f>VLOOKUP($A$238,'集計'!$A$4:$EP$61,135,FALSE)</f>
        <v>0</v>
      </c>
      <c r="AK239" s="15">
        <f>VLOOKUP($A$238,'集計'!$A$4:$EP$61,139,FALSE)</f>
        <v>331</v>
      </c>
      <c r="AL239" s="16">
        <f>VLOOKUP($A$238,'集計'!$A$4:$EP$61,143,FALSE)</f>
        <v>241.16</v>
      </c>
      <c r="AM239" s="26"/>
    </row>
    <row r="240" spans="1:39" ht="13.5">
      <c r="A240" s="32" t="s">
        <v>23</v>
      </c>
      <c r="B240" s="15">
        <f>VLOOKUP($A$238,'集計'!$A$4:$EP$61,4,FALSE)</f>
        <v>132</v>
      </c>
      <c r="C240" s="16">
        <f>VLOOKUP($A$238,'集計'!$A$4:$EP$61,8,FALSE)</f>
        <v>30.04</v>
      </c>
      <c r="D240" s="15">
        <f>VLOOKUP($A$238,'集計'!$A$4:$EP$61,(12),FALSE)</f>
        <v>21</v>
      </c>
      <c r="E240" s="16">
        <f>VLOOKUP($A$238,'集計'!$A$4:$EP$61,16,FALSE)</f>
        <v>31.9</v>
      </c>
      <c r="F240" s="15">
        <f>VLOOKUP($A$238,'集計'!$A$4:$EP$61,20,FALSE)</f>
        <v>5</v>
      </c>
      <c r="G240" s="16">
        <f>VLOOKUP($A$238,'集計'!$A$4:$EP$61,24,FALSE)</f>
        <v>39.5</v>
      </c>
      <c r="H240" s="15">
        <f>VLOOKUP($A$238,'集計'!$A$4:$EP$61,28,FALSE)</f>
        <v>3</v>
      </c>
      <c r="I240" s="16">
        <f>VLOOKUP($A$238,'集計'!$A$4:$EP$61,32,FALSE)</f>
        <v>75.7</v>
      </c>
      <c r="J240" s="15">
        <f>VLOOKUP($A$238,'集計'!$A$4:$EP$61,36,FALSE)</f>
        <v>7</v>
      </c>
      <c r="K240" s="16">
        <f>VLOOKUP($A$238,'集計'!$A$4:$EP$61,40,FALSE)</f>
        <v>111.2</v>
      </c>
      <c r="L240" s="15">
        <f>VLOOKUP($A$238,'集計'!$A$4:$EP$61,44,FALSE)</f>
        <v>0</v>
      </c>
      <c r="M240" s="16">
        <f>VLOOKUP($A$238,'集計'!$A$4:$EP$61,48,FALSE)</f>
        <v>0</v>
      </c>
      <c r="N240" s="15">
        <f>VLOOKUP($A$238,'集計'!$A$4:$EP$61,52,FALSE)</f>
        <v>1</v>
      </c>
      <c r="O240" s="16">
        <f>VLOOKUP($A$238,'集計'!$A$4:$EP$61,56,FALSE)</f>
        <v>0.2</v>
      </c>
      <c r="P240" s="15">
        <f>VLOOKUP($A$238,'集計'!$A$4:$EP$61,60,FALSE)</f>
        <v>0</v>
      </c>
      <c r="Q240" s="16">
        <f>VLOOKUP($A$238,'集計'!$A$4:$EP$61,64,FALSE)</f>
        <v>0</v>
      </c>
      <c r="R240" s="15">
        <f>VLOOKUP($A$238,'集計'!$A$4:$EP$61,68,FALSE)</f>
        <v>169</v>
      </c>
      <c r="S240" s="16">
        <f>VLOOKUP($A$238,'集計'!$A$4:$EP$61,72,FALSE)</f>
        <v>288.54</v>
      </c>
      <c r="T240" s="32" t="s">
        <v>23</v>
      </c>
      <c r="U240" s="15">
        <f>VLOOKUP($A$238,'集計'!$A$4:$EP$61,76,FALSE)</f>
        <v>124</v>
      </c>
      <c r="V240" s="16">
        <f>VLOOKUP($A$238,'集計'!$A$4:$EP$61,80,FALSE)</f>
        <v>28.27</v>
      </c>
      <c r="W240" s="15">
        <f>VLOOKUP($A$238,'集計'!$A$4:$EP$61,84,FALSE)</f>
        <v>18</v>
      </c>
      <c r="X240" s="16">
        <f>VLOOKUP($A$238,'集計'!$A$4:$EP$61,88,FALSE)</f>
        <v>27</v>
      </c>
      <c r="Y240" s="15">
        <f>VLOOKUP($A$238,'集計'!$A$4:$EP$61,92,FALSE)</f>
        <v>5</v>
      </c>
      <c r="Z240" s="16">
        <f>VLOOKUP($A$238,'集計'!$A$4:$EP$61,96,FALSE)</f>
        <v>31.8</v>
      </c>
      <c r="AA240" s="15">
        <f>VLOOKUP($A$238,'集計'!$A$4:$EP$61,100,FALSE)</f>
        <v>3</v>
      </c>
      <c r="AB240" s="16">
        <f>VLOOKUP($A$238,'集計'!$A$4:$EP$61,104,FALSE)</f>
        <v>75.7</v>
      </c>
      <c r="AC240" s="15">
        <f>VLOOKUP($A$238,'集計'!$A$4:$EP$61,108,FALSE)</f>
        <v>7</v>
      </c>
      <c r="AD240" s="16">
        <f>VLOOKUP($A$238,'集計'!$A$4:$EP$61,112,FALSE)</f>
        <v>111.2</v>
      </c>
      <c r="AE240" s="15">
        <f>VLOOKUP($A$238,'集計'!$A$4:$EP$61,116,FALSE)</f>
        <v>0</v>
      </c>
      <c r="AF240" s="16">
        <f>VLOOKUP($A$238,'集計'!$A$4:$EP$61,120,FALSE)</f>
        <v>0</v>
      </c>
      <c r="AG240" s="15">
        <f>VLOOKUP($A$238,'集計'!$A$4:$EP$61,124,FALSE)</f>
        <v>1</v>
      </c>
      <c r="AH240" s="16">
        <f>VLOOKUP($A$238,'集計'!$A$4:$EP$61,128,FALSE)</f>
        <v>0.21</v>
      </c>
      <c r="AI240" s="15">
        <f>VLOOKUP($A$238,'集計'!$A$4:$EP$61,132,FALSE)</f>
        <v>0</v>
      </c>
      <c r="AJ240" s="16">
        <f>VLOOKUP($A$238,'集計'!$A$4:$EP$61,136,FALSE)</f>
        <v>0</v>
      </c>
      <c r="AK240" s="15">
        <f>VLOOKUP($A$238,'集計'!$A$4:$EP$61,140,FALSE)</f>
        <v>158</v>
      </c>
      <c r="AL240" s="16">
        <f>VLOOKUP($A$238,'集計'!$A$4:$EP$61,144,FALSE)</f>
        <v>274.18</v>
      </c>
      <c r="AM240" s="26"/>
    </row>
    <row r="241" spans="1:39" ht="13.5">
      <c r="A241" s="32" t="s">
        <v>24</v>
      </c>
      <c r="B241" s="15">
        <f>VLOOKUP($A$238,'集計'!$A$4:$EP$61,5,FALSE)</f>
        <v>22</v>
      </c>
      <c r="C241" s="16">
        <f>VLOOKUP($A$238,'集計'!$A$4:$EP$61,9,FALSE)</f>
        <v>6.7</v>
      </c>
      <c r="D241" s="15">
        <f>VLOOKUP($A$238,'集計'!$A$4:$EP$61,13,FALSE)</f>
        <v>11</v>
      </c>
      <c r="E241" s="16">
        <f>VLOOKUP($A$238,'集計'!$A$4:$EP$61,17,FALSE)</f>
        <v>22.4</v>
      </c>
      <c r="F241" s="15">
        <f>VLOOKUP($A$238,'集計'!$A$4:$EP$61,21,FALSE)</f>
        <v>4</v>
      </c>
      <c r="G241" s="16">
        <f>VLOOKUP($A$238,'集計'!$A$4:$EP$61,25,FALSE)</f>
        <v>20.3</v>
      </c>
      <c r="H241" s="15">
        <f>VLOOKUP($A$238,'集計'!$A$4:$EP$61,29,FALSE)</f>
        <v>12</v>
      </c>
      <c r="I241" s="16">
        <f>VLOOKUP($A$238,'集計'!$A$4:$EP$61,33,FALSE)</f>
        <v>367.3</v>
      </c>
      <c r="J241" s="15">
        <f>VLOOKUP($A$238,'集計'!$A$4:$EP$61,37,FALSE)</f>
        <v>10</v>
      </c>
      <c r="K241" s="16">
        <f>VLOOKUP($A$238,'集計'!$A$4:$EP$61,41,FALSE)</f>
        <v>233.9</v>
      </c>
      <c r="L241" s="15">
        <f>VLOOKUP($A$238,'集計'!$A$4:$EP$61,45,FALSE)</f>
        <v>8</v>
      </c>
      <c r="M241" s="16">
        <f>VLOOKUP($A$238,'集計'!$A$4:$EP$61,49,FALSE)</f>
        <v>185.5</v>
      </c>
      <c r="N241" s="15">
        <f>VLOOKUP($A$238,'集計'!$A$4:$EP$61,53,FALSE)</f>
        <v>4</v>
      </c>
      <c r="O241" s="16">
        <f>VLOOKUP($A$238,'集計'!$A$4:$EP$61,57,FALSE)</f>
        <v>101.3</v>
      </c>
      <c r="P241" s="15">
        <f>VLOOKUP($A$238,'集計'!$A$4:$EP$61,61,FALSE)</f>
        <v>2</v>
      </c>
      <c r="Q241" s="16">
        <f>VLOOKUP($A$238,'集計'!$A$4:$EP$61,65,FALSE)</f>
        <v>544.9</v>
      </c>
      <c r="R241" s="15">
        <f>VLOOKUP($A$238,'集計'!$A$4:$EP$61,69,FALSE)</f>
        <v>73</v>
      </c>
      <c r="S241" s="16">
        <f>VLOOKUP($A$238,'集計'!$A$4:$EP$61,73,FALSE)</f>
        <v>1482.3</v>
      </c>
      <c r="T241" s="32" t="s">
        <v>24</v>
      </c>
      <c r="U241" s="15">
        <f>VLOOKUP($A$238,'集計'!$A$4:$EP$61,77,FALSE)</f>
        <v>22</v>
      </c>
      <c r="V241" s="16">
        <f>VLOOKUP($A$238,'集計'!$A$4:$EP$61,81,FALSE)</f>
        <v>6.52</v>
      </c>
      <c r="W241" s="15">
        <f>VLOOKUP($A$238,'集計'!$A$4:$EP$61,85,FALSE)</f>
        <v>10</v>
      </c>
      <c r="X241" s="16">
        <f>VLOOKUP($A$238,'集計'!$A$4:$EP$61,89,FALSE)</f>
        <v>20.2</v>
      </c>
      <c r="Y241" s="15">
        <f>VLOOKUP($A$238,'集計'!$A$4:$EP$61,93,FALSE)</f>
        <v>4</v>
      </c>
      <c r="Z241" s="16">
        <f>VLOOKUP($A$238,'集計'!$A$4:$EP$61,97,FALSE)</f>
        <v>16.9</v>
      </c>
      <c r="AA241" s="15">
        <f>VLOOKUP($A$238,'集計'!$A$4:$EP$61,101,FALSE)</f>
        <v>12</v>
      </c>
      <c r="AB241" s="16">
        <f>VLOOKUP($A$238,'集計'!$A$4:$EP$61,105,FALSE)</f>
        <v>257.8</v>
      </c>
      <c r="AC241" s="15">
        <f>VLOOKUP($A$238,'集計'!$A$4:$EP$61,109,FALSE)</f>
        <v>10</v>
      </c>
      <c r="AD241" s="16">
        <f>VLOOKUP($A$238,'集計'!$A$4:$EP$61,113,FALSE)</f>
        <v>162.2</v>
      </c>
      <c r="AE241" s="15">
        <f>VLOOKUP($A$238,'集計'!$A$4:$EP$61,117,FALSE)</f>
        <v>7</v>
      </c>
      <c r="AF241" s="16">
        <f>VLOOKUP($A$238,'集計'!$A$4:$EP$61,121,FALSE)</f>
        <v>144.6</v>
      </c>
      <c r="AG241" s="15">
        <f>VLOOKUP($A$238,'集計'!$A$4:$EP$61,125,FALSE)</f>
        <v>4</v>
      </c>
      <c r="AH241" s="16">
        <f>VLOOKUP($A$238,'集計'!$A$4:$EP$61,129,FALSE)</f>
        <v>94.9</v>
      </c>
      <c r="AI241" s="15">
        <f>VLOOKUP($A$238,'集計'!$A$4:$EP$61,133,FALSE)</f>
        <v>2</v>
      </c>
      <c r="AJ241" s="16">
        <f>VLOOKUP($A$238,'集計'!$A$4:$EP$61,137,FALSE)</f>
        <v>282.4</v>
      </c>
      <c r="AK241" s="15">
        <f>VLOOKUP($A$238,'集計'!$A$4:$EP$61,141,FALSE)</f>
        <v>71</v>
      </c>
      <c r="AL241" s="16">
        <f>VLOOKUP($A$238,'集計'!$A$4:$EP$61,145,FALSE)</f>
        <v>985.52</v>
      </c>
      <c r="AM241" s="26"/>
    </row>
    <row r="242" spans="1:41" ht="13.5">
      <c r="A242" s="32" t="s">
        <v>70</v>
      </c>
      <c r="B242" s="15">
        <f>VLOOKUP($A$242,'集計'!$A$4:$EP$61,6,FALSE)</f>
        <v>319</v>
      </c>
      <c r="C242" s="16">
        <f>VLOOKUP($A$242,'集計'!$A$4:$EP$61,10,FALSE)</f>
        <v>84.97</v>
      </c>
      <c r="D242" s="15">
        <f>VLOOKUP($A$242,'集計'!$A$4:$EP$61,14,FALSE)</f>
        <v>51</v>
      </c>
      <c r="E242" s="16">
        <f>VLOOKUP($A$242,'集計'!$A$4:$EP$61,18,FALSE)</f>
        <v>97.2</v>
      </c>
      <c r="F242" s="15">
        <f>VLOOKUP($A$242,'集計'!$A$4:$EP$61,22,FALSE)</f>
        <v>21</v>
      </c>
      <c r="G242" s="16">
        <f>VLOOKUP($A$242,'集計'!$A$4:$EP$61,26,FALSE)</f>
        <v>113</v>
      </c>
      <c r="H242" s="15">
        <f>VLOOKUP($A$242,'集計'!$A$4:$EP$61,30,FALSE)</f>
        <v>27</v>
      </c>
      <c r="I242" s="16">
        <f>VLOOKUP($A$242,'集計'!$A$4:$EP$61,34,FALSE)</f>
        <v>668.3</v>
      </c>
      <c r="J242" s="15">
        <f>VLOOKUP($A$242,'集計'!$A$4:$EP$61,38,FALSE)</f>
        <v>18</v>
      </c>
      <c r="K242" s="16">
        <f>VLOOKUP($A$242,'集計'!$A$4:$EP$61,42,FALSE)</f>
        <v>332.1</v>
      </c>
      <c r="L242" s="15">
        <f>VLOOKUP($A$242,'集計'!$A$4:$EP$61,46,FALSE)</f>
        <v>8</v>
      </c>
      <c r="M242" s="16">
        <f>VLOOKUP($A$242,'集計'!$A$4:$EP$61,50,FALSE)</f>
        <v>110.3</v>
      </c>
      <c r="N242" s="15">
        <f>VLOOKUP($A$242,'集計'!$A$4:$EP$61,54,FALSE)</f>
        <v>1</v>
      </c>
      <c r="O242" s="16">
        <f>VLOOKUP($A$242,'集計'!$A$4:$EP$61,58,FALSE)</f>
        <v>31.4</v>
      </c>
      <c r="P242" s="15">
        <f>VLOOKUP($A$242,'集計'!$A$4:$EP$61,62,FALSE)</f>
        <v>3</v>
      </c>
      <c r="Q242" s="16">
        <f>VLOOKUP($A$242,'集計'!$A$4:$EP$61,66,FALSE)</f>
        <v>308.7</v>
      </c>
      <c r="R242" s="15">
        <f>VLOOKUP($A$242,'集計'!$A$4:$EP$61,70,FALSE)</f>
        <v>448</v>
      </c>
      <c r="S242" s="16">
        <f>VLOOKUP($A$242,'集計'!$A$4:$EP$61,74,FALSE)</f>
        <v>1745.97</v>
      </c>
      <c r="T242" s="32" t="s">
        <v>70</v>
      </c>
      <c r="U242" s="15">
        <f>VLOOKUP($A$242,'集計'!$A$4:$EP$61,78,FALSE)</f>
        <v>310</v>
      </c>
      <c r="V242" s="16">
        <f>VLOOKUP($A$242,'集計'!$A$4:$EP$61,82,FALSE)</f>
        <v>81.46</v>
      </c>
      <c r="W242" s="15">
        <f>VLOOKUP($A$242,'集計'!$A$4:$EP$61,86,FALSE)</f>
        <v>49</v>
      </c>
      <c r="X242" s="16">
        <f>VLOOKUP($A$242,'集計'!$A$4:$EP$61,90,FALSE)</f>
        <v>89.1</v>
      </c>
      <c r="Y242" s="15">
        <f>VLOOKUP($A$242,'集計'!$A$4:$EP$61,94,FALSE)</f>
        <v>21</v>
      </c>
      <c r="Z242" s="16">
        <f>VLOOKUP($A$242,'集計'!$A$4:$EP$61,98,FALSE)</f>
        <v>105.8</v>
      </c>
      <c r="AA242" s="15">
        <f>VLOOKUP($A$242,'集計'!$A$4:$EP$61,102,FALSE)</f>
        <v>27</v>
      </c>
      <c r="AB242" s="16">
        <f>VLOOKUP($A$242,'集計'!$A$4:$EP$61,106,FALSE)</f>
        <v>518.6</v>
      </c>
      <c r="AC242" s="15">
        <f>VLOOKUP($A$242,'集計'!$A$4:$EP$61,110,FALSE)</f>
        <v>17</v>
      </c>
      <c r="AD242" s="16">
        <f>VLOOKUP($A$242,'集計'!$A$4:$EP$61,114,FALSE)</f>
        <v>314.2</v>
      </c>
      <c r="AE242" s="15">
        <f>VLOOKUP($A$242,'集計'!$A$4:$EP$61,118,FALSE)</f>
        <v>5</v>
      </c>
      <c r="AF242" s="16">
        <f>VLOOKUP($A$242,'集計'!$A$4:$EP$61,122,FALSE)</f>
        <v>55.9</v>
      </c>
      <c r="AG242" s="15">
        <f>VLOOKUP($A$242,'集計'!$A$4:$EP$61,126,FALSE)</f>
        <v>1</v>
      </c>
      <c r="AH242" s="16">
        <f>VLOOKUP($A$242,'集計'!$A$4:$EP$61,130,FALSE)</f>
        <v>29.3</v>
      </c>
      <c r="AI242" s="15">
        <f>VLOOKUP($A$242,'集計'!$A$4:$EP$61,134,FALSE)</f>
        <v>3</v>
      </c>
      <c r="AJ242" s="16">
        <f>VLOOKUP($A$242,'集計'!$A$4:$EP$61,138,FALSE)</f>
        <v>164.2</v>
      </c>
      <c r="AK242" s="15">
        <f>VLOOKUP($A$242,'集計'!$A$4:$EP$61,142,FALSE)</f>
        <v>433</v>
      </c>
      <c r="AL242" s="16">
        <f>VLOOKUP($A$242,'集計'!$A$4:$EP$61,146,FALSE)</f>
        <v>1358.56</v>
      </c>
      <c r="AM242" s="26"/>
      <c r="AN242" s="26"/>
      <c r="AO242" s="26"/>
    </row>
    <row r="243" spans="1:38" ht="13.5">
      <c r="A243" s="32" t="s">
        <v>22</v>
      </c>
      <c r="B243" s="15">
        <f>VLOOKUP($A$242,'集計'!$A$4:$EP$61,3,FALSE)</f>
        <v>200</v>
      </c>
      <c r="C243" s="16">
        <f>VLOOKUP($A$242,'集計'!$A$4:$EP$61,7,FALSE)</f>
        <v>48.32</v>
      </c>
      <c r="D243" s="15">
        <f>VLOOKUP($A$242,'集計'!$A$4:$EP$61,11,FALSE)</f>
        <v>17</v>
      </c>
      <c r="E243" s="16">
        <f>VLOOKUP($A$242,'集計'!$A$4:$EP$61,15,FALSE)</f>
        <v>31</v>
      </c>
      <c r="F243" s="15">
        <f>VLOOKUP($A$242,'集計'!$A$4:$EP$61,19,FALSE)</f>
        <v>7</v>
      </c>
      <c r="G243" s="16">
        <f>VLOOKUP($A$242,'集計'!$A$4:$EP$61,23,FALSE)</f>
        <v>41.7</v>
      </c>
      <c r="H243" s="15">
        <f>VLOOKUP($A$242,'集計'!$A$4:$EP$61,27,FALSE)</f>
        <v>1</v>
      </c>
      <c r="I243" s="16">
        <f>VLOOKUP($A$242,'集計'!$A$4:$EP$61,31,FALSE)</f>
        <v>10.5</v>
      </c>
      <c r="J243" s="15">
        <f>VLOOKUP($A$242,'集計'!$A$4:$EP$61,35,FALSE)</f>
        <v>1</v>
      </c>
      <c r="K243" s="16">
        <f>VLOOKUP($A$242,'集計'!$A$4:$EP$61,39,FALSE)</f>
        <v>38.8</v>
      </c>
      <c r="L243" s="15">
        <f>VLOOKUP($A$242,'集計'!$A$4:$EP$61,43,FALSE)</f>
        <v>4</v>
      </c>
      <c r="M243" s="16">
        <f>VLOOKUP($A$242,'集計'!$A$4:$EP$61,47,FALSE)</f>
        <v>38.8</v>
      </c>
      <c r="N243" s="15">
        <f>VLOOKUP($A$242,'集計'!$A$4:$EP$61,51,FALSE)</f>
        <v>0</v>
      </c>
      <c r="O243" s="16">
        <f>VLOOKUP($A$242,'集計'!$A$4:$EP$61,55,FALSE)</f>
        <v>0</v>
      </c>
      <c r="P243" s="15">
        <f>VLOOKUP($A$242,'集計'!$A$4:$EP$61,59,FALSE)</f>
        <v>0</v>
      </c>
      <c r="Q243" s="16">
        <f>VLOOKUP($A$242,'集計'!$A$4:$EP$61,63,FALSE)</f>
        <v>0</v>
      </c>
      <c r="R243" s="15">
        <f>VLOOKUP($A$242,'集計'!$A$4:$EP$61,67,FALSE)</f>
        <v>230</v>
      </c>
      <c r="S243" s="16">
        <f>VLOOKUP($A$242,'集計'!$A$4:$EP$61,71,FALSE)</f>
        <v>209.12</v>
      </c>
      <c r="T243" s="32" t="s">
        <v>22</v>
      </c>
      <c r="U243" s="15">
        <f>VLOOKUP($A$242,'集計'!$A$4:$EP$61,75,FALSE)</f>
        <v>199</v>
      </c>
      <c r="V243" s="16">
        <f>VLOOKUP($A$242,'集計'!$A$4:$EP$61,79,FALSE)</f>
        <v>47.43</v>
      </c>
      <c r="W243" s="15">
        <f>VLOOKUP($A$242,'集計'!$A$4:$EP$61,83,FALSE)</f>
        <v>17</v>
      </c>
      <c r="X243" s="16">
        <f>VLOOKUP($A$242,'集計'!$A$4:$EP$61,87,FALSE)</f>
        <v>30.6</v>
      </c>
      <c r="Y243" s="15">
        <f>VLOOKUP($A$242,'集計'!$A$4:$EP$61,91,FALSE)</f>
        <v>7</v>
      </c>
      <c r="Z243" s="16">
        <f>VLOOKUP($A$242,'集計'!$A$4:$EP$61,95,FALSE)</f>
        <v>41.6</v>
      </c>
      <c r="AA243" s="15">
        <f>VLOOKUP($A$242,'集計'!$A$4:$EP$61,99,FALSE)</f>
        <v>1</v>
      </c>
      <c r="AB243" s="16">
        <f>VLOOKUP($A$242,'集計'!$A$4:$EP$61,103,FALSE)</f>
        <v>10</v>
      </c>
      <c r="AC243" s="15">
        <f>VLOOKUP($A$242,'集計'!$A$4:$EP$61,107,FALSE)</f>
        <v>1</v>
      </c>
      <c r="AD243" s="16">
        <f>VLOOKUP($A$242,'集計'!$A$4:$EP$61,111,FALSE)</f>
        <v>38.8</v>
      </c>
      <c r="AE243" s="15">
        <f>VLOOKUP($A$242,'集計'!$A$4:$EP$61,115,FALSE)</f>
        <v>3</v>
      </c>
      <c r="AF243" s="16">
        <f>VLOOKUP($A$242,'集計'!$A$4:$EP$61,119,FALSE)</f>
        <v>33.2</v>
      </c>
      <c r="AG243" s="15">
        <f>VLOOKUP($A$242,'集計'!$A$4:$EP$61,123,FALSE)</f>
        <v>0</v>
      </c>
      <c r="AH243" s="16">
        <f>VLOOKUP($A$242,'集計'!$A$4:$EP$61,127,FALSE)</f>
        <v>0</v>
      </c>
      <c r="AI243" s="15">
        <f>VLOOKUP($A$242,'集計'!$A$4:$EP$61,131,FALSE)</f>
        <v>0</v>
      </c>
      <c r="AJ243" s="16">
        <f>VLOOKUP($A$242,'集計'!$A$4:$EP$61,135,FALSE)</f>
        <v>0</v>
      </c>
      <c r="AK243" s="15">
        <f>VLOOKUP($A$242,'集計'!$A$4:$EP$61,139,FALSE)</f>
        <v>228</v>
      </c>
      <c r="AL243" s="16">
        <f>VLOOKUP($A$242,'集計'!$A$4:$EP$61,143,FALSE)</f>
        <v>201.63</v>
      </c>
    </row>
    <row r="244" spans="1:38" ht="13.5">
      <c r="A244" s="32" t="s">
        <v>23</v>
      </c>
      <c r="B244" s="15">
        <f>VLOOKUP($A$242,'集計'!$A$4:$EP$61,4,FALSE)</f>
        <v>92</v>
      </c>
      <c r="C244" s="16">
        <f>VLOOKUP($A$242,'集計'!$A$4:$EP$61,8,FALSE)</f>
        <v>26.41</v>
      </c>
      <c r="D244" s="15">
        <f>VLOOKUP($A$242,'集計'!$A$4:$EP$61,(12),FALSE)</f>
        <v>8</v>
      </c>
      <c r="E244" s="16">
        <f>VLOOKUP($A$242,'集計'!$A$4:$EP$61,16,FALSE)</f>
        <v>14</v>
      </c>
      <c r="F244" s="15">
        <f>VLOOKUP($A$242,'集計'!$A$4:$EP$61,20,FALSE)</f>
        <v>4</v>
      </c>
      <c r="G244" s="16">
        <f>VLOOKUP($A$242,'集計'!$A$4:$EP$61,24,FALSE)</f>
        <v>21.9</v>
      </c>
      <c r="H244" s="15">
        <f>VLOOKUP($A$242,'集計'!$A$4:$EP$61,28,FALSE)</f>
        <v>3</v>
      </c>
      <c r="I244" s="16">
        <f>VLOOKUP($A$242,'集計'!$A$4:$EP$61,32,FALSE)</f>
        <v>65.3</v>
      </c>
      <c r="J244" s="15">
        <f>VLOOKUP($A$242,'集計'!$A$4:$EP$61,36,FALSE)</f>
        <v>3</v>
      </c>
      <c r="K244" s="16">
        <f>VLOOKUP($A$242,'集計'!$A$4:$EP$61,40,FALSE)</f>
        <v>52</v>
      </c>
      <c r="L244" s="15">
        <f>VLOOKUP($A$242,'集計'!$A$4:$EP$61,44,FALSE)</f>
        <v>0</v>
      </c>
      <c r="M244" s="16">
        <f>VLOOKUP($A$242,'集計'!$A$4:$EP$61,48,FALSE)</f>
        <v>0</v>
      </c>
      <c r="N244" s="15">
        <f>VLOOKUP($A$242,'集計'!$A$4:$EP$61,52,FALSE)</f>
        <v>0</v>
      </c>
      <c r="O244" s="16">
        <f>VLOOKUP($A$242,'集計'!$A$4:$EP$61,56,FALSE)</f>
        <v>0</v>
      </c>
      <c r="P244" s="15">
        <f>VLOOKUP($A$242,'集計'!$A$4:$EP$61,60,FALSE)</f>
        <v>0</v>
      </c>
      <c r="Q244" s="16">
        <f>VLOOKUP($A$242,'集計'!$A$4:$EP$61,64,FALSE)</f>
        <v>0</v>
      </c>
      <c r="R244" s="15">
        <f>VLOOKUP($A$242,'集計'!$A$4:$EP$61,68,FALSE)</f>
        <v>110</v>
      </c>
      <c r="S244" s="16">
        <f>VLOOKUP($A$242,'集計'!$A$4:$EP$61,72,FALSE)</f>
        <v>179.61</v>
      </c>
      <c r="T244" s="32" t="s">
        <v>23</v>
      </c>
      <c r="U244" s="15">
        <f>VLOOKUP($A$242,'集計'!$A$4:$EP$61,76,FALSE)</f>
        <v>86</v>
      </c>
      <c r="V244" s="16">
        <f>VLOOKUP($A$242,'集計'!$A$4:$EP$61,80,FALSE)</f>
        <v>24.76</v>
      </c>
      <c r="W244" s="15">
        <f>VLOOKUP($A$242,'集計'!$A$4:$EP$61,84,FALSE)</f>
        <v>8</v>
      </c>
      <c r="X244" s="16">
        <f>VLOOKUP($A$242,'集計'!$A$4:$EP$61,88,FALSE)</f>
        <v>12.8</v>
      </c>
      <c r="Y244" s="15">
        <f>VLOOKUP($A$242,'集計'!$A$4:$EP$61,92,FALSE)</f>
        <v>4</v>
      </c>
      <c r="Z244" s="16">
        <f>VLOOKUP($A$242,'集計'!$A$4:$EP$61,96,FALSE)</f>
        <v>19.6</v>
      </c>
      <c r="AA244" s="15">
        <f>VLOOKUP($A$242,'集計'!$A$4:$EP$61,100,FALSE)</f>
        <v>3</v>
      </c>
      <c r="AB244" s="16">
        <f>VLOOKUP($A$242,'集計'!$A$4:$EP$61,104,FALSE)</f>
        <v>65.3</v>
      </c>
      <c r="AC244" s="15">
        <f>VLOOKUP($A$242,'集計'!$A$4:$EP$61,108,FALSE)</f>
        <v>3</v>
      </c>
      <c r="AD244" s="16">
        <f>VLOOKUP($A$242,'集計'!$A$4:$EP$61,112,FALSE)</f>
        <v>52</v>
      </c>
      <c r="AE244" s="15">
        <f>VLOOKUP($A$242,'集計'!$A$4:$EP$61,116,FALSE)</f>
        <v>0</v>
      </c>
      <c r="AF244" s="16">
        <f>VLOOKUP($A$242,'集計'!$A$4:$EP$61,120,FALSE)</f>
        <v>0</v>
      </c>
      <c r="AG244" s="15">
        <f>VLOOKUP($A$242,'集計'!$A$4:$EP$61,124,FALSE)</f>
        <v>0</v>
      </c>
      <c r="AH244" s="16">
        <f>VLOOKUP($A$242,'集計'!$A$4:$EP$61,128,FALSE)</f>
        <v>0</v>
      </c>
      <c r="AI244" s="15">
        <f>VLOOKUP($A$242,'集計'!$A$4:$EP$61,132,FALSE)</f>
        <v>0</v>
      </c>
      <c r="AJ244" s="16">
        <f>VLOOKUP($A$242,'集計'!$A$4:$EP$61,136,FALSE)</f>
        <v>0</v>
      </c>
      <c r="AK244" s="15">
        <f>VLOOKUP($A$242,'集計'!$A$4:$EP$61,140,FALSE)</f>
        <v>104</v>
      </c>
      <c r="AL244" s="16">
        <f>VLOOKUP($A$242,'集計'!$A$4:$EP$61,144,FALSE)</f>
        <v>174.46</v>
      </c>
    </row>
    <row r="245" spans="1:38" ht="13.5">
      <c r="A245" s="32" t="s">
        <v>24</v>
      </c>
      <c r="B245" s="15">
        <f>VLOOKUP($A$242,'集計'!$A$4:$EP$61,5,FALSE)</f>
        <v>27</v>
      </c>
      <c r="C245" s="16">
        <f>VLOOKUP($A$242,'集計'!$A$4:$EP$61,9,FALSE)</f>
        <v>10.24</v>
      </c>
      <c r="D245" s="15">
        <f>VLOOKUP($A$242,'集計'!$A$4:$EP$61,13,FALSE)</f>
        <v>26</v>
      </c>
      <c r="E245" s="16">
        <f>VLOOKUP($A$242,'集計'!$A$4:$EP$61,17,FALSE)</f>
        <v>52.2</v>
      </c>
      <c r="F245" s="15">
        <f>VLOOKUP($A$242,'集計'!$A$4:$EP$61,21,FALSE)</f>
        <v>10</v>
      </c>
      <c r="G245" s="16">
        <f>VLOOKUP($A$242,'集計'!$A$4:$EP$61,25,FALSE)</f>
        <v>49.4</v>
      </c>
      <c r="H245" s="15">
        <f>VLOOKUP($A$242,'集計'!$A$4:$EP$61,29,FALSE)</f>
        <v>23</v>
      </c>
      <c r="I245" s="16">
        <f>VLOOKUP($A$242,'集計'!$A$4:$EP$61,33,FALSE)</f>
        <v>592.5</v>
      </c>
      <c r="J245" s="15">
        <f>VLOOKUP($A$242,'集計'!$A$4:$EP$61,37,FALSE)</f>
        <v>14</v>
      </c>
      <c r="K245" s="16">
        <f>VLOOKUP($A$242,'集計'!$A$4:$EP$61,41,FALSE)</f>
        <v>241.3</v>
      </c>
      <c r="L245" s="15">
        <f>VLOOKUP($A$242,'集計'!$A$4:$EP$61,45,FALSE)</f>
        <v>4</v>
      </c>
      <c r="M245" s="16">
        <f>VLOOKUP($A$242,'集計'!$A$4:$EP$61,49,FALSE)</f>
        <v>71.5</v>
      </c>
      <c r="N245" s="15">
        <f>VLOOKUP($A$242,'集計'!$A$4:$EP$61,53,FALSE)</f>
        <v>1</v>
      </c>
      <c r="O245" s="16">
        <f>VLOOKUP($A$242,'集計'!$A$4:$EP$61,57,FALSE)</f>
        <v>31.4</v>
      </c>
      <c r="P245" s="15">
        <f>VLOOKUP($A$242,'集計'!$A$4:$EP$61,61,FALSE)</f>
        <v>3</v>
      </c>
      <c r="Q245" s="16">
        <f>VLOOKUP($A$242,'集計'!$A$4:$EP$61,65,FALSE)</f>
        <v>308.7</v>
      </c>
      <c r="R245" s="15">
        <f>VLOOKUP($A$242,'集計'!$A$4:$EP$61,69,FALSE)</f>
        <v>108</v>
      </c>
      <c r="S245" s="16">
        <f>VLOOKUP($A$242,'集計'!$A$4:$EP$61,73,FALSE)</f>
        <v>1357.24</v>
      </c>
      <c r="T245" s="32" t="s">
        <v>24</v>
      </c>
      <c r="U245" s="15">
        <f>VLOOKUP($A$242,'集計'!$A$4:$EP$61,77,FALSE)</f>
        <v>25</v>
      </c>
      <c r="V245" s="16">
        <f>VLOOKUP($A$242,'集計'!$A$4:$EP$61,81,FALSE)</f>
        <v>9.27</v>
      </c>
      <c r="W245" s="15">
        <f>VLOOKUP($A$242,'集計'!$A$4:$EP$61,85,FALSE)</f>
        <v>24</v>
      </c>
      <c r="X245" s="16">
        <f>VLOOKUP($A$242,'集計'!$A$4:$EP$61,89,FALSE)</f>
        <v>45.7</v>
      </c>
      <c r="Y245" s="15">
        <f>VLOOKUP($A$242,'集計'!$A$4:$EP$61,93,FALSE)</f>
        <v>10</v>
      </c>
      <c r="Z245" s="16">
        <f>VLOOKUP($A$242,'集計'!$A$4:$EP$61,97,FALSE)</f>
        <v>44.6</v>
      </c>
      <c r="AA245" s="15">
        <f>VLOOKUP($A$242,'集計'!$A$4:$EP$61,101,FALSE)</f>
        <v>23</v>
      </c>
      <c r="AB245" s="16">
        <f>VLOOKUP($A$242,'集計'!$A$4:$EP$61,105,FALSE)</f>
        <v>443.3</v>
      </c>
      <c r="AC245" s="15">
        <f>VLOOKUP($A$242,'集計'!$A$4:$EP$61,109,FALSE)</f>
        <v>13</v>
      </c>
      <c r="AD245" s="16">
        <f>VLOOKUP($A$242,'集計'!$A$4:$EP$61,113,FALSE)</f>
        <v>223.4</v>
      </c>
      <c r="AE245" s="15">
        <f>VLOOKUP($A$242,'集計'!$A$4:$EP$61,117,FALSE)</f>
        <v>2</v>
      </c>
      <c r="AF245" s="16">
        <f>VLOOKUP($A$242,'集計'!$A$4:$EP$61,121,FALSE)</f>
        <v>22.7</v>
      </c>
      <c r="AG245" s="15">
        <f>VLOOKUP($A$242,'集計'!$A$4:$EP$61,125,FALSE)</f>
        <v>1</v>
      </c>
      <c r="AH245" s="16">
        <f>VLOOKUP($A$242,'集計'!$A$4:$EP$61,129,FALSE)</f>
        <v>29.3</v>
      </c>
      <c r="AI245" s="15">
        <f>VLOOKUP($A$242,'集計'!$A$4:$EP$61,133,FALSE)</f>
        <v>3</v>
      </c>
      <c r="AJ245" s="16">
        <f>VLOOKUP($A$242,'集計'!$A$4:$EP$61,137,FALSE)</f>
        <v>164.2</v>
      </c>
      <c r="AK245" s="15">
        <f>VLOOKUP($A$242,'集計'!$A$4:$EP$61,141,FALSE)</f>
        <v>101</v>
      </c>
      <c r="AL245" s="16">
        <f>VLOOKUP($A$242,'集計'!$A$4:$EP$61,145,FALSE)</f>
        <v>982.47</v>
      </c>
    </row>
    <row r="246" spans="1:38" ht="13.5">
      <c r="A246" s="32"/>
      <c r="B246" s="19"/>
      <c r="C246" s="20"/>
      <c r="D246" s="19"/>
      <c r="E246" s="20"/>
      <c r="F246" s="19"/>
      <c r="G246" s="20"/>
      <c r="H246" s="19"/>
      <c r="I246" s="20"/>
      <c r="J246" s="19"/>
      <c r="K246" s="20"/>
      <c r="L246" s="19"/>
      <c r="M246" s="20"/>
      <c r="N246" s="19"/>
      <c r="O246" s="20"/>
      <c r="P246" s="19"/>
      <c r="Q246" s="20"/>
      <c r="R246" s="19"/>
      <c r="S246" s="20"/>
      <c r="T246" s="32"/>
      <c r="U246" s="19"/>
      <c r="V246" s="20"/>
      <c r="W246" s="19"/>
      <c r="X246" s="20"/>
      <c r="Y246" s="19"/>
      <c r="Z246" s="20"/>
      <c r="AA246" s="19"/>
      <c r="AB246" s="20"/>
      <c r="AC246" s="19"/>
      <c r="AD246" s="20"/>
      <c r="AE246" s="19"/>
      <c r="AF246" s="20"/>
      <c r="AG246" s="19"/>
      <c r="AH246" s="20"/>
      <c r="AI246" s="19"/>
      <c r="AJ246" s="20"/>
      <c r="AK246" s="19"/>
      <c r="AL246" s="20"/>
    </row>
    <row r="247" spans="1:38" ht="13.5">
      <c r="A247" s="32" t="s">
        <v>71</v>
      </c>
      <c r="B247" s="15">
        <f>VLOOKUP($A$247,'集計'!$A$4:$EP$61,6,FALSE)</f>
        <v>387</v>
      </c>
      <c r="C247" s="16">
        <f>VLOOKUP($A$247,'集計'!$A$4:$EP$61,10,FALSE)</f>
        <v>95.11</v>
      </c>
      <c r="D247" s="15">
        <f>VLOOKUP($A$247,'集計'!$A$4:$EP$61,14,FALSE)</f>
        <v>85</v>
      </c>
      <c r="E247" s="16">
        <f>VLOOKUP($A$247,'集計'!$A$4:$EP$61,18,FALSE)</f>
        <v>194.2</v>
      </c>
      <c r="F247" s="15">
        <f>VLOOKUP($A$247,'集計'!$A$4:$EP$61,22,FALSE)</f>
        <v>26</v>
      </c>
      <c r="G247" s="16">
        <f>VLOOKUP($A$247,'集計'!$A$4:$EP$61,26,FALSE)</f>
        <v>139.7</v>
      </c>
      <c r="H247" s="15">
        <f>VLOOKUP($A$247,'集計'!$A$4:$EP$61,30,FALSE)</f>
        <v>25</v>
      </c>
      <c r="I247" s="16">
        <f>VLOOKUP($A$247,'集計'!$A$4:$EP$61,34,FALSE)</f>
        <v>462.9</v>
      </c>
      <c r="J247" s="15">
        <f>VLOOKUP($A$247,'集計'!$A$4:$EP$61,38,FALSE)</f>
        <v>11</v>
      </c>
      <c r="K247" s="16">
        <f>VLOOKUP($A$247,'集計'!$A$4:$EP$61,42,FALSE)</f>
        <v>229.9</v>
      </c>
      <c r="L247" s="15">
        <f>VLOOKUP($A$247,'集計'!$A$4:$EP$61,46,FALSE)</f>
        <v>3</v>
      </c>
      <c r="M247" s="16">
        <f>VLOOKUP($A$247,'集計'!$A$4:$EP$61,50,FALSE)</f>
        <v>58.5</v>
      </c>
      <c r="N247" s="15">
        <f>VLOOKUP($A$247,'集計'!$A$4:$EP$61,54,FALSE)</f>
        <v>2</v>
      </c>
      <c r="O247" s="16">
        <f>VLOOKUP($A$247,'集計'!$A$4:$EP$61,58,FALSE)</f>
        <v>289.9</v>
      </c>
      <c r="P247" s="15">
        <f>VLOOKUP($A$247,'集計'!$A$4:$EP$61,62,FALSE)</f>
        <v>7</v>
      </c>
      <c r="Q247" s="16">
        <f>VLOOKUP($A$247,'集計'!$A$4:$EP$61,66,FALSE)</f>
        <v>656.4</v>
      </c>
      <c r="R247" s="15">
        <f>VLOOKUP($A$247,'集計'!$A$4:$EP$61,70,FALSE)</f>
        <v>546</v>
      </c>
      <c r="S247" s="16">
        <f>VLOOKUP($A$247,'集計'!$A$4:$EP$61,74,FALSE)</f>
        <v>2126.61</v>
      </c>
      <c r="T247" s="32" t="s">
        <v>71</v>
      </c>
      <c r="U247" s="15">
        <f>VLOOKUP($A$247,'集計'!$A$4:$EP$61,78,FALSE)</f>
        <v>325</v>
      </c>
      <c r="V247" s="16">
        <f>VLOOKUP($A$247,'集計'!$A$4:$EP$61,82,FALSE)</f>
        <v>76.04</v>
      </c>
      <c r="W247" s="15">
        <f>VLOOKUP($A$247,'集計'!$A$4:$EP$61,86,FALSE)</f>
        <v>69</v>
      </c>
      <c r="X247" s="16">
        <f>VLOOKUP($A$247,'集計'!$A$4:$EP$61,90,FALSE)</f>
        <v>132.5</v>
      </c>
      <c r="Y247" s="15">
        <f>VLOOKUP($A$247,'集計'!$A$4:$EP$61,94,FALSE)</f>
        <v>24</v>
      </c>
      <c r="Z247" s="16">
        <f>VLOOKUP($A$247,'集計'!$A$4:$EP$61,98,FALSE)</f>
        <v>108.3</v>
      </c>
      <c r="AA247" s="15">
        <f>VLOOKUP($A$247,'集計'!$A$4:$EP$61,102,FALSE)</f>
        <v>23</v>
      </c>
      <c r="AB247" s="16">
        <f>VLOOKUP($A$247,'集計'!$A$4:$EP$61,106,FALSE)</f>
        <v>265.9</v>
      </c>
      <c r="AC247" s="15">
        <f>VLOOKUP($A$247,'集計'!$A$4:$EP$61,110,FALSE)</f>
        <v>11</v>
      </c>
      <c r="AD247" s="16">
        <f>VLOOKUP($A$247,'集計'!$A$4:$EP$61,114,FALSE)</f>
        <v>199.7</v>
      </c>
      <c r="AE247" s="15">
        <f>VLOOKUP($A$247,'集計'!$A$4:$EP$61,118,FALSE)</f>
        <v>2</v>
      </c>
      <c r="AF247" s="16">
        <f>VLOOKUP($A$247,'集計'!$A$4:$EP$61,122,FALSE)</f>
        <v>24.7</v>
      </c>
      <c r="AG247" s="15">
        <f>VLOOKUP($A$247,'集計'!$A$4:$EP$61,126,FALSE)</f>
        <v>2</v>
      </c>
      <c r="AH247" s="16">
        <f>VLOOKUP($A$247,'集計'!$A$4:$EP$61,130,FALSE)</f>
        <v>15.3</v>
      </c>
      <c r="AI247" s="15">
        <f>VLOOKUP($A$247,'集計'!$A$4:$EP$61,134,FALSE)</f>
        <v>8</v>
      </c>
      <c r="AJ247" s="16">
        <f>VLOOKUP($A$247,'集計'!$A$4:$EP$61,138,FALSE)</f>
        <v>451.1</v>
      </c>
      <c r="AK247" s="15">
        <f>VLOOKUP($A$247,'集計'!$A$4:$EP$61,142,FALSE)</f>
        <v>464</v>
      </c>
      <c r="AL247" s="16">
        <f>VLOOKUP($A$247,'集計'!$A$4:$EP$61,146,FALSE)</f>
        <v>1273.54</v>
      </c>
    </row>
    <row r="248" spans="1:38" ht="13.5">
      <c r="A248" s="32" t="s">
        <v>22</v>
      </c>
      <c r="B248" s="15">
        <f>VLOOKUP($A$247,'集計'!$A$4:$EP$61,3,FALSE)</f>
        <v>285</v>
      </c>
      <c r="C248" s="16">
        <f>VLOOKUP($A$247,'集計'!$A$4:$EP$61,7,FALSE)</f>
        <v>65.68</v>
      </c>
      <c r="D248" s="15">
        <f>VLOOKUP($A$247,'集計'!$A$4:$EP$61,11,FALSE)</f>
        <v>46</v>
      </c>
      <c r="E248" s="16">
        <f>VLOOKUP($A$247,'集計'!$A$4:$EP$61,15,FALSE)</f>
        <v>99.8</v>
      </c>
      <c r="F248" s="15">
        <f>VLOOKUP($A$247,'集計'!$A$4:$EP$61,19,FALSE)</f>
        <v>11</v>
      </c>
      <c r="G248" s="16">
        <f>VLOOKUP($A$247,'集計'!$A$4:$EP$61,23,FALSE)</f>
        <v>53.4</v>
      </c>
      <c r="H248" s="15">
        <f>VLOOKUP($A$247,'集計'!$A$4:$EP$61,27,FALSE)</f>
        <v>11</v>
      </c>
      <c r="I248" s="16">
        <f>VLOOKUP($A$247,'集計'!$A$4:$EP$61,31,FALSE)</f>
        <v>184</v>
      </c>
      <c r="J248" s="15">
        <f>VLOOKUP($A$247,'集計'!$A$4:$EP$61,35,FALSE)</f>
        <v>6</v>
      </c>
      <c r="K248" s="16">
        <f>VLOOKUP($A$247,'集計'!$A$4:$EP$61,39,FALSE)</f>
        <v>133.8</v>
      </c>
      <c r="L248" s="15">
        <f>VLOOKUP($A$247,'集計'!$A$4:$EP$61,43,FALSE)</f>
        <v>0</v>
      </c>
      <c r="M248" s="16">
        <f>VLOOKUP($A$247,'集計'!$A$4:$EP$61,47,FALSE)</f>
        <v>0</v>
      </c>
      <c r="N248" s="15">
        <f>VLOOKUP($A$247,'集計'!$A$4:$EP$61,51,FALSE)</f>
        <v>0</v>
      </c>
      <c r="O248" s="16">
        <f>VLOOKUP($A$247,'集計'!$A$4:$EP$61,55,FALSE)</f>
        <v>0</v>
      </c>
      <c r="P248" s="15">
        <f>VLOOKUP($A$247,'集計'!$A$4:$EP$61,59,FALSE)</f>
        <v>1</v>
      </c>
      <c r="Q248" s="16">
        <f>VLOOKUP($A$247,'集計'!$A$4:$EP$61,63,FALSE)</f>
        <v>71.1</v>
      </c>
      <c r="R248" s="15">
        <f>VLOOKUP($A$247,'集計'!$A$4:$EP$61,67,FALSE)</f>
        <v>360</v>
      </c>
      <c r="S248" s="16">
        <f>VLOOKUP($A$247,'集計'!$A$4:$EP$61,71,FALSE)</f>
        <v>607.78</v>
      </c>
      <c r="T248" s="32" t="s">
        <v>22</v>
      </c>
      <c r="U248" s="15">
        <f>VLOOKUP($A$247,'集計'!$A$4:$EP$61,75,FALSE)</f>
        <v>246</v>
      </c>
      <c r="V248" s="16">
        <f>VLOOKUP($A$247,'集計'!$A$4:$EP$61,79,FALSE)</f>
        <v>54.14</v>
      </c>
      <c r="W248" s="15">
        <f>VLOOKUP($A$247,'集計'!$A$4:$EP$61,83,FALSE)</f>
        <v>38</v>
      </c>
      <c r="X248" s="16">
        <f>VLOOKUP($A$247,'集計'!$A$4:$EP$61,87,FALSE)</f>
        <v>69.8</v>
      </c>
      <c r="Y248" s="15">
        <f>VLOOKUP($A$247,'集計'!$A$4:$EP$61,91,FALSE)</f>
        <v>10</v>
      </c>
      <c r="Z248" s="16">
        <f>VLOOKUP($A$247,'集計'!$A$4:$EP$61,95,FALSE)</f>
        <v>38.2</v>
      </c>
      <c r="AA248" s="15">
        <f>VLOOKUP($A$247,'集計'!$A$4:$EP$61,99,FALSE)</f>
        <v>11</v>
      </c>
      <c r="AB248" s="16">
        <f>VLOOKUP($A$247,'集計'!$A$4:$EP$61,103,FALSE)</f>
        <v>137.9</v>
      </c>
      <c r="AC248" s="15">
        <f>VLOOKUP($A$247,'集計'!$A$4:$EP$61,107,FALSE)</f>
        <v>6</v>
      </c>
      <c r="AD248" s="16">
        <f>VLOOKUP($A$247,'集計'!$A$4:$EP$61,111,FALSE)</f>
        <v>115.5</v>
      </c>
      <c r="AE248" s="15">
        <f>VLOOKUP($A$247,'集計'!$A$4:$EP$61,115,FALSE)</f>
        <v>0</v>
      </c>
      <c r="AF248" s="16">
        <f>VLOOKUP($A$247,'集計'!$A$4:$EP$61,119,FALSE)</f>
        <v>0</v>
      </c>
      <c r="AG248" s="15">
        <f>VLOOKUP($A$247,'集計'!$A$4:$EP$61,123,FALSE)</f>
        <v>0</v>
      </c>
      <c r="AH248" s="16">
        <f>VLOOKUP($A$247,'集計'!$A$4:$EP$61,127,FALSE)</f>
        <v>0</v>
      </c>
      <c r="AI248" s="15">
        <f>VLOOKUP($A$247,'集計'!$A$4:$EP$61,131,FALSE)</f>
        <v>1</v>
      </c>
      <c r="AJ248" s="16">
        <f>VLOOKUP($A$247,'集計'!$A$4:$EP$61,135,FALSE)</f>
        <v>59</v>
      </c>
      <c r="AK248" s="15">
        <f>VLOOKUP($A$247,'集計'!$A$4:$EP$61,139,FALSE)</f>
        <v>312</v>
      </c>
      <c r="AL248" s="16">
        <f>VLOOKUP($A$247,'集計'!$A$4:$EP$61,143,FALSE)</f>
        <v>474.54</v>
      </c>
    </row>
    <row r="249" spans="1:38" ht="13.5">
      <c r="A249" s="32" t="s">
        <v>23</v>
      </c>
      <c r="B249" s="15">
        <f>VLOOKUP($A$247,'集計'!$A$4:$EP$61,4,FALSE)</f>
        <v>70</v>
      </c>
      <c r="C249" s="16">
        <f>VLOOKUP($A$247,'集計'!$A$4:$EP$61,8,FALSE)</f>
        <v>19.36</v>
      </c>
      <c r="D249" s="15">
        <f>VLOOKUP($A$247,'集計'!$A$4:$EP$61,(12),FALSE)</f>
        <v>27</v>
      </c>
      <c r="E249" s="16">
        <f>VLOOKUP($A$247,'集計'!$A$4:$EP$61,16,FALSE)</f>
        <v>71.6</v>
      </c>
      <c r="F249" s="15">
        <f>VLOOKUP($A$247,'集計'!$A$4:$EP$61,20,FALSE)</f>
        <v>3</v>
      </c>
      <c r="G249" s="16">
        <f>VLOOKUP($A$247,'集計'!$A$4:$EP$61,24,FALSE)</f>
        <v>17.9</v>
      </c>
      <c r="H249" s="15">
        <f>VLOOKUP($A$247,'集計'!$A$4:$EP$61,28,FALSE)</f>
        <v>2</v>
      </c>
      <c r="I249" s="16">
        <f>VLOOKUP($A$247,'集計'!$A$4:$EP$61,32,FALSE)</f>
        <v>27.6</v>
      </c>
      <c r="J249" s="15">
        <f>VLOOKUP($A$247,'集計'!$A$4:$EP$61,36,FALSE)</f>
        <v>3</v>
      </c>
      <c r="K249" s="16">
        <f>VLOOKUP($A$247,'集計'!$A$4:$EP$61,40,FALSE)</f>
        <v>55.6</v>
      </c>
      <c r="L249" s="15">
        <f>VLOOKUP($A$247,'集計'!$A$4:$EP$61,44,FALSE)</f>
        <v>1</v>
      </c>
      <c r="M249" s="16">
        <f>VLOOKUP($A$247,'集計'!$A$4:$EP$61,48,FALSE)</f>
        <v>25.1</v>
      </c>
      <c r="N249" s="15">
        <f>VLOOKUP($A$247,'集計'!$A$4:$EP$61,52,FALSE)</f>
        <v>0</v>
      </c>
      <c r="O249" s="16">
        <f>VLOOKUP($A$247,'集計'!$A$4:$EP$61,56,FALSE)</f>
        <v>0</v>
      </c>
      <c r="P249" s="15">
        <f>VLOOKUP($A$247,'集計'!$A$4:$EP$61,60,FALSE)</f>
        <v>0</v>
      </c>
      <c r="Q249" s="16">
        <f>VLOOKUP($A$247,'集計'!$A$4:$EP$61,64,FALSE)</f>
        <v>0</v>
      </c>
      <c r="R249" s="15">
        <f>VLOOKUP($A$247,'集計'!$A$4:$EP$61,68,FALSE)</f>
        <v>106</v>
      </c>
      <c r="S249" s="16">
        <f>VLOOKUP($A$247,'集計'!$A$4:$EP$61,72,FALSE)</f>
        <v>217.16</v>
      </c>
      <c r="T249" s="32" t="s">
        <v>23</v>
      </c>
      <c r="U249" s="15">
        <f>VLOOKUP($A$247,'集計'!$A$4:$EP$61,76,FALSE)</f>
        <v>52</v>
      </c>
      <c r="V249" s="16">
        <f>VLOOKUP($A$247,'集計'!$A$4:$EP$61,80,FALSE)</f>
        <v>13.46</v>
      </c>
      <c r="W249" s="15">
        <f>VLOOKUP($A$247,'集計'!$A$4:$EP$61,84,FALSE)</f>
        <v>21</v>
      </c>
      <c r="X249" s="16">
        <f>VLOOKUP($A$247,'集計'!$A$4:$EP$61,88,FALSE)</f>
        <v>46.7</v>
      </c>
      <c r="Y249" s="15">
        <f>VLOOKUP($A$247,'集計'!$A$4:$EP$61,92,FALSE)</f>
        <v>2</v>
      </c>
      <c r="Z249" s="16">
        <f>VLOOKUP($A$247,'集計'!$A$4:$EP$61,96,FALSE)</f>
        <v>10.3</v>
      </c>
      <c r="AA249" s="15">
        <f>VLOOKUP($A$247,'集計'!$A$4:$EP$61,100,FALSE)</f>
        <v>2</v>
      </c>
      <c r="AB249" s="16">
        <f>VLOOKUP($A$247,'集計'!$A$4:$EP$61,104,FALSE)</f>
        <v>20.9</v>
      </c>
      <c r="AC249" s="15">
        <f>VLOOKUP($A$247,'集計'!$A$4:$EP$61,108,FALSE)</f>
        <v>3</v>
      </c>
      <c r="AD249" s="16">
        <f>VLOOKUP($A$247,'集計'!$A$4:$EP$61,112,FALSE)</f>
        <v>50.6</v>
      </c>
      <c r="AE249" s="15">
        <f>VLOOKUP($A$247,'集計'!$A$4:$EP$61,116,FALSE)</f>
        <v>0</v>
      </c>
      <c r="AF249" s="16">
        <f>VLOOKUP($A$247,'集計'!$A$4:$EP$61,120,FALSE)</f>
        <v>0</v>
      </c>
      <c r="AG249" s="15">
        <f>VLOOKUP($A$247,'集計'!$A$4:$EP$61,124,FALSE)</f>
        <v>0</v>
      </c>
      <c r="AH249" s="16">
        <f>VLOOKUP($A$247,'集計'!$A$4:$EP$61,128,FALSE)</f>
        <v>0</v>
      </c>
      <c r="AI249" s="15">
        <f>VLOOKUP($A$247,'集計'!$A$4:$EP$61,132,FALSE)</f>
        <v>0</v>
      </c>
      <c r="AJ249" s="16">
        <f>VLOOKUP($A$247,'集計'!$A$4:$EP$61,136,FALSE)</f>
        <v>0</v>
      </c>
      <c r="AK249" s="15">
        <f>VLOOKUP($A$247,'集計'!$A$4:$EP$61,140,FALSE)</f>
        <v>80</v>
      </c>
      <c r="AL249" s="16">
        <f>VLOOKUP($A$247,'集計'!$A$4:$EP$61,144,FALSE)</f>
        <v>141.96</v>
      </c>
    </row>
    <row r="250" spans="1:38" ht="13.5">
      <c r="A250" s="32" t="s">
        <v>24</v>
      </c>
      <c r="B250" s="15">
        <f>VLOOKUP($A$247,'集計'!$A$4:$EP$61,5,FALSE)</f>
        <v>32</v>
      </c>
      <c r="C250" s="16">
        <f>VLOOKUP($A$247,'集計'!$A$4:$EP$61,9,FALSE)</f>
        <v>10.07</v>
      </c>
      <c r="D250" s="15">
        <f>VLOOKUP($A$247,'集計'!$A$4:$EP$61,13,FALSE)</f>
        <v>12</v>
      </c>
      <c r="E250" s="16">
        <f>VLOOKUP($A$247,'集計'!$A$4:$EP$61,17,FALSE)</f>
        <v>22.8</v>
      </c>
      <c r="F250" s="15">
        <f>VLOOKUP($A$247,'集計'!$A$4:$EP$61,21,FALSE)</f>
        <v>12</v>
      </c>
      <c r="G250" s="16">
        <f>VLOOKUP($A$247,'集計'!$A$4:$EP$61,25,FALSE)</f>
        <v>68.4</v>
      </c>
      <c r="H250" s="15">
        <f>VLOOKUP($A$247,'集計'!$A$4:$EP$61,29,FALSE)</f>
        <v>12</v>
      </c>
      <c r="I250" s="16">
        <f>VLOOKUP($A$247,'集計'!$A$4:$EP$61,33,FALSE)</f>
        <v>251.3</v>
      </c>
      <c r="J250" s="15">
        <f>VLOOKUP($A$247,'集計'!$A$4:$EP$61,37,FALSE)</f>
        <v>2</v>
      </c>
      <c r="K250" s="16">
        <f>VLOOKUP($A$247,'集計'!$A$4:$EP$61,41,FALSE)</f>
        <v>40.5</v>
      </c>
      <c r="L250" s="15">
        <f>VLOOKUP($A$247,'集計'!$A$4:$EP$61,45,FALSE)</f>
        <v>2</v>
      </c>
      <c r="M250" s="16">
        <f>VLOOKUP($A$247,'集計'!$A$4:$EP$61,49,FALSE)</f>
        <v>33.4</v>
      </c>
      <c r="N250" s="15">
        <f>VLOOKUP($A$247,'集計'!$A$4:$EP$61,53,FALSE)</f>
        <v>2</v>
      </c>
      <c r="O250" s="16">
        <f>VLOOKUP($A$247,'集計'!$A$4:$EP$61,57,FALSE)</f>
        <v>289.9</v>
      </c>
      <c r="P250" s="15">
        <f>VLOOKUP($A$247,'集計'!$A$4:$EP$61,61,FALSE)</f>
        <v>6</v>
      </c>
      <c r="Q250" s="16">
        <f>VLOOKUP($A$247,'集計'!$A$4:$EP$61,65,FALSE)</f>
        <v>585.3</v>
      </c>
      <c r="R250" s="15">
        <f>VLOOKUP($A$247,'集計'!$A$4:$EP$61,69,FALSE)</f>
        <v>80</v>
      </c>
      <c r="S250" s="16">
        <f>VLOOKUP($A$247,'集計'!$A$4:$EP$61,73,FALSE)</f>
        <v>1301.67</v>
      </c>
      <c r="T250" s="32" t="s">
        <v>24</v>
      </c>
      <c r="U250" s="15">
        <f>VLOOKUP($A$247,'集計'!$A$4:$EP$61,77,FALSE)</f>
        <v>27</v>
      </c>
      <c r="V250" s="16">
        <f>VLOOKUP($A$247,'集計'!$A$4:$EP$61,81,FALSE)</f>
        <v>8.44</v>
      </c>
      <c r="W250" s="15">
        <f>VLOOKUP($A$247,'集計'!$A$4:$EP$61,85,FALSE)</f>
        <v>10</v>
      </c>
      <c r="X250" s="16">
        <f>VLOOKUP($A$247,'集計'!$A$4:$EP$61,89,FALSE)</f>
        <v>16</v>
      </c>
      <c r="Y250" s="15">
        <f>VLOOKUP($A$247,'集計'!$A$4:$EP$61,93,FALSE)</f>
        <v>12</v>
      </c>
      <c r="Z250" s="16">
        <f>VLOOKUP($A$247,'集計'!$A$4:$EP$61,97,FALSE)</f>
        <v>59.8</v>
      </c>
      <c r="AA250" s="15">
        <f>VLOOKUP($A$247,'集計'!$A$4:$EP$61,101,FALSE)</f>
        <v>10</v>
      </c>
      <c r="AB250" s="16">
        <f>VLOOKUP($A$247,'集計'!$A$4:$EP$61,105,FALSE)</f>
        <v>107.1</v>
      </c>
      <c r="AC250" s="15">
        <f>VLOOKUP($A$247,'集計'!$A$4:$EP$61,109,FALSE)</f>
        <v>2</v>
      </c>
      <c r="AD250" s="16">
        <f>VLOOKUP($A$247,'集計'!$A$4:$EP$61,113,FALSE)</f>
        <v>33.6</v>
      </c>
      <c r="AE250" s="15">
        <f>VLOOKUP($A$247,'集計'!$A$4:$EP$61,117,FALSE)</f>
        <v>2</v>
      </c>
      <c r="AF250" s="16">
        <f>VLOOKUP($A$247,'集計'!$A$4:$EP$61,121,FALSE)</f>
        <v>24.7</v>
      </c>
      <c r="AG250" s="15">
        <f>VLOOKUP($A$247,'集計'!$A$4:$EP$61,125,FALSE)</f>
        <v>2</v>
      </c>
      <c r="AH250" s="16">
        <f>VLOOKUP($A$247,'集計'!$A$4:$EP$61,129,FALSE)</f>
        <v>15.3</v>
      </c>
      <c r="AI250" s="15">
        <f>VLOOKUP($A$247,'集計'!$A$4:$EP$61,133,FALSE)</f>
        <v>7</v>
      </c>
      <c r="AJ250" s="16">
        <f>VLOOKUP($A$247,'集計'!$A$4:$EP$61,137,FALSE)</f>
        <v>392.1</v>
      </c>
      <c r="AK250" s="15">
        <f>VLOOKUP($A$247,'集計'!$A$4:$EP$61,141,FALSE)</f>
        <v>72</v>
      </c>
      <c r="AL250" s="16">
        <f>VLOOKUP($A$247,'集計'!$A$4:$EP$61,145,FALSE)</f>
        <v>657.04</v>
      </c>
    </row>
    <row r="251" spans="1:38" ht="13.5">
      <c r="A251" s="34"/>
      <c r="B251" s="19"/>
      <c r="C251" s="20"/>
      <c r="D251" s="19"/>
      <c r="E251" s="20"/>
      <c r="F251" s="19"/>
      <c r="G251" s="20"/>
      <c r="H251" s="19"/>
      <c r="I251" s="20"/>
      <c r="J251" s="19"/>
      <c r="K251" s="20"/>
      <c r="L251" s="19"/>
      <c r="M251" s="20"/>
      <c r="N251" s="19"/>
      <c r="O251" s="20"/>
      <c r="P251" s="19"/>
      <c r="Q251" s="20"/>
      <c r="R251" s="19"/>
      <c r="S251" s="20"/>
      <c r="T251" s="34"/>
      <c r="U251" s="19"/>
      <c r="V251" s="20"/>
      <c r="W251" s="19"/>
      <c r="X251" s="20"/>
      <c r="Y251" s="19"/>
      <c r="Z251" s="20"/>
      <c r="AA251" s="19"/>
      <c r="AB251" s="20"/>
      <c r="AC251" s="19"/>
      <c r="AD251" s="20"/>
      <c r="AE251" s="19"/>
      <c r="AF251" s="20"/>
      <c r="AG251" s="19"/>
      <c r="AH251" s="20"/>
      <c r="AI251" s="19"/>
      <c r="AJ251" s="20"/>
      <c r="AK251" s="19"/>
      <c r="AL251" s="20"/>
    </row>
    <row r="252" spans="1:38" ht="9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</sheetData>
  <sheetProtection/>
  <mergeCells count="24">
    <mergeCell ref="A3:A6"/>
    <mergeCell ref="B3:S3"/>
    <mergeCell ref="T3:T6"/>
    <mergeCell ref="U3:AL3"/>
    <mergeCell ref="B4:C5"/>
    <mergeCell ref="D4:E5"/>
    <mergeCell ref="F4:G5"/>
    <mergeCell ref="H4:I5"/>
    <mergeCell ref="AI4:AJ5"/>
    <mergeCell ref="AK4:AL5"/>
    <mergeCell ref="J4:K5"/>
    <mergeCell ref="L4:O4"/>
    <mergeCell ref="P4:Q5"/>
    <mergeCell ref="R4:S5"/>
    <mergeCell ref="Y4:Z5"/>
    <mergeCell ref="AA4:AB5"/>
    <mergeCell ref="AC4:AD5"/>
    <mergeCell ref="AE4:AH4"/>
    <mergeCell ref="U4:V5"/>
    <mergeCell ref="W4:X5"/>
    <mergeCell ref="L5:M5"/>
    <mergeCell ref="N5:O5"/>
    <mergeCell ref="AE5:AF5"/>
    <mergeCell ref="AG5:AH5"/>
  </mergeCells>
  <printOptions/>
  <pageMargins left="0.3937007874015748" right="0.3937007874015748" top="0.6692913385826772" bottom="0.7874015748031497" header="0.3937007874015748" footer="0.3937007874015748"/>
  <pageSetup fitToHeight="0" fitToWidth="4" horizontalDpi="1200" verticalDpi="1200" orientation="portrait" pageOrder="overThenDown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61"/>
  <sheetViews>
    <sheetView view="pageBreakPreview" zoomScale="145" zoomScaleNormal="145" zoomScaleSheetLayoutView="145" zoomScalePageLayoutView="0" workbookViewId="0" topLeftCell="DV37">
      <selection activeCell="EP62" sqref="EP62"/>
    </sheetView>
  </sheetViews>
  <sheetFormatPr defaultColWidth="9.59765625" defaultRowHeight="8.25"/>
  <cols>
    <col min="1" max="1" width="13" style="73" customWidth="1"/>
    <col min="2" max="2" width="9" style="0" customWidth="1"/>
    <col min="7" max="7" width="10.796875" style="0" bestFit="1" customWidth="1"/>
    <col min="8" max="9" width="10.19921875" style="0" bestFit="1" customWidth="1"/>
    <col min="10" max="10" width="10.796875" style="0" bestFit="1" customWidth="1"/>
    <col min="71" max="72" width="10.796875" style="0" bestFit="1" customWidth="1"/>
    <col min="73" max="74" width="11.796875" style="0" bestFit="1" customWidth="1"/>
    <col min="79" max="79" width="10.796875" style="0" bestFit="1" customWidth="1"/>
    <col min="80" max="81" width="10.19921875" style="0" bestFit="1" customWidth="1"/>
    <col min="82" max="82" width="10.796875" style="0" bestFit="1" customWidth="1"/>
    <col min="143" max="145" width="10.796875" style="0" bestFit="1" customWidth="1"/>
    <col min="146" max="146" width="10.3984375" style="0" bestFit="1" customWidth="1"/>
  </cols>
  <sheetData>
    <row r="1" spans="1:146" ht="9">
      <c r="A1"/>
      <c r="B1" s="37"/>
      <c r="C1" s="92" t="s">
        <v>83</v>
      </c>
      <c r="D1" s="93"/>
      <c r="E1" s="93"/>
      <c r="F1" s="93"/>
      <c r="G1" s="93"/>
      <c r="H1" s="93"/>
      <c r="I1" s="93"/>
      <c r="J1" s="94"/>
      <c r="K1" s="92" t="s">
        <v>84</v>
      </c>
      <c r="L1" s="93"/>
      <c r="M1" s="93"/>
      <c r="N1" s="93"/>
      <c r="O1" s="93"/>
      <c r="P1" s="93"/>
      <c r="Q1" s="93"/>
      <c r="R1" s="94"/>
      <c r="S1" s="92" t="s">
        <v>1</v>
      </c>
      <c r="T1" s="93"/>
      <c r="U1" s="93"/>
      <c r="V1" s="93"/>
      <c r="W1" s="93"/>
      <c r="X1" s="93"/>
      <c r="Y1" s="93"/>
      <c r="Z1" s="94"/>
      <c r="AA1" s="92" t="s">
        <v>2</v>
      </c>
      <c r="AB1" s="93"/>
      <c r="AC1" s="93"/>
      <c r="AD1" s="93"/>
      <c r="AE1" s="93"/>
      <c r="AF1" s="93"/>
      <c r="AG1" s="93"/>
      <c r="AH1" s="94"/>
      <c r="AI1" s="95" t="s">
        <v>3</v>
      </c>
      <c r="AJ1" s="96"/>
      <c r="AK1" s="96"/>
      <c r="AL1" s="96"/>
      <c r="AM1" s="96"/>
      <c r="AN1" s="96"/>
      <c r="AO1" s="96"/>
      <c r="AP1" s="97"/>
      <c r="AQ1" s="92" t="s">
        <v>85</v>
      </c>
      <c r="AR1" s="93"/>
      <c r="AS1" s="93"/>
      <c r="AT1" s="93"/>
      <c r="AU1" s="93"/>
      <c r="AV1" s="93"/>
      <c r="AW1" s="93"/>
      <c r="AX1" s="94"/>
      <c r="AY1" s="92" t="s">
        <v>86</v>
      </c>
      <c r="AZ1" s="93"/>
      <c r="BA1" s="93"/>
      <c r="BB1" s="93"/>
      <c r="BC1" s="93"/>
      <c r="BD1" s="93"/>
      <c r="BE1" s="93"/>
      <c r="BF1" s="94"/>
      <c r="BG1" s="92" t="s">
        <v>4</v>
      </c>
      <c r="BH1" s="93"/>
      <c r="BI1" s="93"/>
      <c r="BJ1" s="93"/>
      <c r="BK1" s="93"/>
      <c r="BL1" s="93"/>
      <c r="BM1" s="93"/>
      <c r="BN1" s="94"/>
      <c r="BO1" s="92" t="s">
        <v>87</v>
      </c>
      <c r="BP1" s="93"/>
      <c r="BQ1" s="93"/>
      <c r="BR1" s="93"/>
      <c r="BS1" s="93"/>
      <c r="BT1" s="93"/>
      <c r="BU1" s="93"/>
      <c r="BV1" s="94"/>
      <c r="BW1" s="98" t="s">
        <v>83</v>
      </c>
      <c r="BX1" s="99"/>
      <c r="BY1" s="99"/>
      <c r="BZ1" s="99"/>
      <c r="CA1" s="99"/>
      <c r="CB1" s="99"/>
      <c r="CC1" s="99"/>
      <c r="CD1" s="99"/>
      <c r="CE1" s="98" t="s">
        <v>84</v>
      </c>
      <c r="CF1" s="98"/>
      <c r="CG1" s="98"/>
      <c r="CH1" s="98"/>
      <c r="CI1" s="98"/>
      <c r="CJ1" s="98"/>
      <c r="CK1" s="98"/>
      <c r="CL1" s="98"/>
      <c r="CM1" s="98" t="s">
        <v>1</v>
      </c>
      <c r="CN1" s="98"/>
      <c r="CO1" s="98"/>
      <c r="CP1" s="98"/>
      <c r="CQ1" s="98"/>
      <c r="CR1" s="98"/>
      <c r="CS1" s="98"/>
      <c r="CT1" s="98"/>
      <c r="CU1" s="98" t="s">
        <v>2</v>
      </c>
      <c r="CV1" s="98"/>
      <c r="CW1" s="98"/>
      <c r="CX1" s="98"/>
      <c r="CY1" s="98"/>
      <c r="CZ1" s="98"/>
      <c r="DA1" s="98"/>
      <c r="DB1" s="98"/>
      <c r="DC1" s="95" t="s">
        <v>3</v>
      </c>
      <c r="DD1" s="96"/>
      <c r="DE1" s="96"/>
      <c r="DF1" s="96"/>
      <c r="DG1" s="96"/>
      <c r="DH1" s="96"/>
      <c r="DI1" s="96"/>
      <c r="DJ1" s="97"/>
      <c r="DK1" s="98" t="s">
        <v>85</v>
      </c>
      <c r="DL1" s="98"/>
      <c r="DM1" s="98"/>
      <c r="DN1" s="98"/>
      <c r="DO1" s="98"/>
      <c r="DP1" s="98"/>
      <c r="DQ1" s="98"/>
      <c r="DR1" s="98"/>
      <c r="DS1" s="98" t="s">
        <v>86</v>
      </c>
      <c r="DT1" s="98"/>
      <c r="DU1" s="98"/>
      <c r="DV1" s="98"/>
      <c r="DW1" s="98"/>
      <c r="DX1" s="98"/>
      <c r="DY1" s="98"/>
      <c r="DZ1" s="98"/>
      <c r="EA1" s="98" t="s">
        <v>4</v>
      </c>
      <c r="EB1" s="98"/>
      <c r="EC1" s="98"/>
      <c r="ED1" s="98"/>
      <c r="EE1" s="98"/>
      <c r="EF1" s="98"/>
      <c r="EG1" s="98"/>
      <c r="EH1" s="98"/>
      <c r="EI1" s="98" t="s">
        <v>87</v>
      </c>
      <c r="EJ1" s="98"/>
      <c r="EK1" s="98"/>
      <c r="EL1" s="98"/>
      <c r="EM1" s="98"/>
      <c r="EN1" s="98"/>
      <c r="EO1" s="98"/>
      <c r="EP1" s="92"/>
    </row>
    <row r="2" spans="1:146" ht="9">
      <c r="A2"/>
      <c r="B2" s="100" t="s">
        <v>88</v>
      </c>
      <c r="C2" s="102" t="s">
        <v>5</v>
      </c>
      <c r="D2" s="103"/>
      <c r="E2" s="103"/>
      <c r="F2" s="104"/>
      <c r="G2" s="102" t="s">
        <v>6</v>
      </c>
      <c r="H2" s="103"/>
      <c r="I2" s="103"/>
      <c r="J2" s="104"/>
      <c r="K2" s="102" t="s">
        <v>5</v>
      </c>
      <c r="L2" s="103"/>
      <c r="M2" s="103"/>
      <c r="N2" s="104"/>
      <c r="O2" s="102" t="s">
        <v>6</v>
      </c>
      <c r="P2" s="103"/>
      <c r="Q2" s="103"/>
      <c r="R2" s="104"/>
      <c r="S2" s="102" t="s">
        <v>5</v>
      </c>
      <c r="T2" s="103"/>
      <c r="U2" s="103"/>
      <c r="V2" s="104"/>
      <c r="W2" s="102" t="s">
        <v>6</v>
      </c>
      <c r="X2" s="103"/>
      <c r="Y2" s="103"/>
      <c r="Z2" s="104"/>
      <c r="AA2" s="102" t="s">
        <v>5</v>
      </c>
      <c r="AB2" s="103"/>
      <c r="AC2" s="103"/>
      <c r="AD2" s="104"/>
      <c r="AE2" s="102" t="s">
        <v>6</v>
      </c>
      <c r="AF2" s="103"/>
      <c r="AG2" s="103"/>
      <c r="AH2" s="104"/>
      <c r="AI2" s="105" t="s">
        <v>5</v>
      </c>
      <c r="AJ2" s="106"/>
      <c r="AK2" s="106"/>
      <c r="AL2" s="107"/>
      <c r="AM2" s="102" t="s">
        <v>6</v>
      </c>
      <c r="AN2" s="103"/>
      <c r="AO2" s="103"/>
      <c r="AP2" s="104"/>
      <c r="AQ2" s="108" t="s">
        <v>5</v>
      </c>
      <c r="AR2" s="103"/>
      <c r="AS2" s="103"/>
      <c r="AT2" s="104"/>
      <c r="AU2" s="102" t="s">
        <v>6</v>
      </c>
      <c r="AV2" s="103"/>
      <c r="AW2" s="103"/>
      <c r="AX2" s="104"/>
      <c r="AY2" s="108" t="s">
        <v>5</v>
      </c>
      <c r="AZ2" s="103"/>
      <c r="BA2" s="103"/>
      <c r="BB2" s="104"/>
      <c r="BC2" s="102" t="s">
        <v>6</v>
      </c>
      <c r="BD2" s="103"/>
      <c r="BE2" s="103"/>
      <c r="BF2" s="104"/>
      <c r="BG2" s="108" t="s">
        <v>5</v>
      </c>
      <c r="BH2" s="103"/>
      <c r="BI2" s="103"/>
      <c r="BJ2" s="104"/>
      <c r="BK2" s="102" t="s">
        <v>6</v>
      </c>
      <c r="BL2" s="103"/>
      <c r="BM2" s="103"/>
      <c r="BN2" s="104"/>
      <c r="BO2" s="109" t="s">
        <v>5</v>
      </c>
      <c r="BP2" s="103"/>
      <c r="BQ2" s="103"/>
      <c r="BR2" s="104"/>
      <c r="BS2" s="102" t="s">
        <v>6</v>
      </c>
      <c r="BT2" s="103"/>
      <c r="BU2" s="103"/>
      <c r="BV2" s="104"/>
      <c r="BW2" s="110" t="s">
        <v>5</v>
      </c>
      <c r="BX2" s="99"/>
      <c r="BY2" s="99"/>
      <c r="BZ2" s="99"/>
      <c r="CA2" s="110" t="s">
        <v>6</v>
      </c>
      <c r="CB2" s="99"/>
      <c r="CC2" s="99"/>
      <c r="CD2" s="99"/>
      <c r="CE2" s="111" t="s">
        <v>5</v>
      </c>
      <c r="CF2" s="99"/>
      <c r="CG2" s="99"/>
      <c r="CH2" s="99"/>
      <c r="CI2" s="110" t="s">
        <v>6</v>
      </c>
      <c r="CJ2" s="99"/>
      <c r="CK2" s="99"/>
      <c r="CL2" s="99"/>
      <c r="CM2" s="111" t="s">
        <v>5</v>
      </c>
      <c r="CN2" s="99"/>
      <c r="CO2" s="99"/>
      <c r="CP2" s="99"/>
      <c r="CQ2" s="110" t="s">
        <v>6</v>
      </c>
      <c r="CR2" s="99"/>
      <c r="CS2" s="99"/>
      <c r="CT2" s="99"/>
      <c r="CU2" s="111" t="s">
        <v>5</v>
      </c>
      <c r="CV2" s="99"/>
      <c r="CW2" s="99"/>
      <c r="CX2" s="99"/>
      <c r="CY2" s="110" t="s">
        <v>6</v>
      </c>
      <c r="CZ2" s="99"/>
      <c r="DA2" s="99"/>
      <c r="DB2" s="99"/>
      <c r="DC2" s="105" t="s">
        <v>5</v>
      </c>
      <c r="DD2" s="106"/>
      <c r="DE2" s="106"/>
      <c r="DF2" s="107"/>
      <c r="DG2" s="110" t="s">
        <v>6</v>
      </c>
      <c r="DH2" s="99"/>
      <c r="DI2" s="99"/>
      <c r="DJ2" s="99"/>
      <c r="DK2" s="111" t="s">
        <v>5</v>
      </c>
      <c r="DL2" s="99"/>
      <c r="DM2" s="99"/>
      <c r="DN2" s="99"/>
      <c r="DO2" s="110" t="s">
        <v>6</v>
      </c>
      <c r="DP2" s="99"/>
      <c r="DQ2" s="99"/>
      <c r="DR2" s="99"/>
      <c r="DS2" s="111" t="s">
        <v>5</v>
      </c>
      <c r="DT2" s="99"/>
      <c r="DU2" s="99"/>
      <c r="DV2" s="99"/>
      <c r="DW2" s="110" t="s">
        <v>6</v>
      </c>
      <c r="DX2" s="99"/>
      <c r="DY2" s="99"/>
      <c r="DZ2" s="99"/>
      <c r="EA2" s="111" t="s">
        <v>5</v>
      </c>
      <c r="EB2" s="99"/>
      <c r="EC2" s="99"/>
      <c r="ED2" s="99"/>
      <c r="EE2" s="110" t="s">
        <v>6</v>
      </c>
      <c r="EF2" s="99"/>
      <c r="EG2" s="99"/>
      <c r="EH2" s="99"/>
      <c r="EI2" s="111" t="s">
        <v>5</v>
      </c>
      <c r="EJ2" s="99"/>
      <c r="EK2" s="99"/>
      <c r="EL2" s="99"/>
      <c r="EM2" s="110" t="s">
        <v>6</v>
      </c>
      <c r="EN2" s="99"/>
      <c r="EO2" s="99"/>
      <c r="EP2" s="112"/>
    </row>
    <row r="3" spans="1:146" ht="9">
      <c r="A3"/>
      <c r="B3" s="101"/>
      <c r="C3" s="39" t="s">
        <v>89</v>
      </c>
      <c r="D3" s="39" t="s">
        <v>90</v>
      </c>
      <c r="E3" s="39" t="s">
        <v>91</v>
      </c>
      <c r="F3" s="38" t="s">
        <v>87</v>
      </c>
      <c r="G3" s="39" t="s">
        <v>92</v>
      </c>
      <c r="H3" s="39" t="s">
        <v>93</v>
      </c>
      <c r="I3" s="39" t="s">
        <v>94</v>
      </c>
      <c r="J3" s="39" t="s">
        <v>87</v>
      </c>
      <c r="K3" s="39" t="s">
        <v>92</v>
      </c>
      <c r="L3" s="39" t="s">
        <v>93</v>
      </c>
      <c r="M3" s="39" t="s">
        <v>94</v>
      </c>
      <c r="N3" s="38" t="s">
        <v>87</v>
      </c>
      <c r="O3" s="39" t="s">
        <v>92</v>
      </c>
      <c r="P3" s="39" t="s">
        <v>93</v>
      </c>
      <c r="Q3" s="39" t="s">
        <v>94</v>
      </c>
      <c r="R3" s="39" t="s">
        <v>87</v>
      </c>
      <c r="S3" s="39" t="s">
        <v>92</v>
      </c>
      <c r="T3" s="39" t="s">
        <v>93</v>
      </c>
      <c r="U3" s="39" t="s">
        <v>94</v>
      </c>
      <c r="V3" s="38" t="s">
        <v>87</v>
      </c>
      <c r="W3" s="39" t="s">
        <v>92</v>
      </c>
      <c r="X3" s="39" t="s">
        <v>93</v>
      </c>
      <c r="Y3" s="39" t="s">
        <v>94</v>
      </c>
      <c r="Z3" s="39" t="s">
        <v>87</v>
      </c>
      <c r="AA3" s="39" t="s">
        <v>92</v>
      </c>
      <c r="AB3" s="39" t="s">
        <v>93</v>
      </c>
      <c r="AC3" s="39" t="s">
        <v>94</v>
      </c>
      <c r="AD3" s="39" t="s">
        <v>87</v>
      </c>
      <c r="AE3" s="39" t="s">
        <v>92</v>
      </c>
      <c r="AF3" s="39" t="s">
        <v>93</v>
      </c>
      <c r="AG3" s="39" t="s">
        <v>94</v>
      </c>
      <c r="AH3" s="39" t="s">
        <v>87</v>
      </c>
      <c r="AI3" s="40" t="s">
        <v>92</v>
      </c>
      <c r="AJ3" s="40" t="s">
        <v>93</v>
      </c>
      <c r="AK3" s="40" t="s">
        <v>94</v>
      </c>
      <c r="AL3" s="41" t="s">
        <v>87</v>
      </c>
      <c r="AM3" s="39" t="s">
        <v>92</v>
      </c>
      <c r="AN3" s="39" t="s">
        <v>93</v>
      </c>
      <c r="AO3" s="39" t="s">
        <v>94</v>
      </c>
      <c r="AP3" s="39" t="s">
        <v>87</v>
      </c>
      <c r="AQ3" s="40" t="s">
        <v>92</v>
      </c>
      <c r="AR3" s="40" t="s">
        <v>93</v>
      </c>
      <c r="AS3" s="40" t="s">
        <v>94</v>
      </c>
      <c r="AT3" s="41" t="s">
        <v>87</v>
      </c>
      <c r="AU3" s="39" t="s">
        <v>92</v>
      </c>
      <c r="AV3" s="39" t="s">
        <v>93</v>
      </c>
      <c r="AW3" s="39" t="s">
        <v>94</v>
      </c>
      <c r="AX3" s="39" t="s">
        <v>87</v>
      </c>
      <c r="AY3" s="40" t="s">
        <v>92</v>
      </c>
      <c r="AZ3" s="40" t="s">
        <v>93</v>
      </c>
      <c r="BA3" s="40" t="s">
        <v>94</v>
      </c>
      <c r="BB3" s="41" t="s">
        <v>87</v>
      </c>
      <c r="BC3" s="39" t="s">
        <v>92</v>
      </c>
      <c r="BD3" s="39" t="s">
        <v>93</v>
      </c>
      <c r="BE3" s="39" t="s">
        <v>94</v>
      </c>
      <c r="BF3" s="39" t="s">
        <v>87</v>
      </c>
      <c r="BG3" s="40" t="s">
        <v>92</v>
      </c>
      <c r="BH3" s="40" t="s">
        <v>93</v>
      </c>
      <c r="BI3" s="40" t="s">
        <v>94</v>
      </c>
      <c r="BJ3" s="41" t="s">
        <v>87</v>
      </c>
      <c r="BK3" s="39" t="s">
        <v>92</v>
      </c>
      <c r="BL3" s="39" t="s">
        <v>93</v>
      </c>
      <c r="BM3" s="39" t="s">
        <v>94</v>
      </c>
      <c r="BN3" s="39" t="s">
        <v>87</v>
      </c>
      <c r="BO3" s="42" t="s">
        <v>92</v>
      </c>
      <c r="BP3" s="42" t="s">
        <v>93</v>
      </c>
      <c r="BQ3" s="42" t="s">
        <v>94</v>
      </c>
      <c r="BR3" s="43" t="s">
        <v>87</v>
      </c>
      <c r="BS3" s="39" t="s">
        <v>92</v>
      </c>
      <c r="BT3" s="39" t="s">
        <v>93</v>
      </c>
      <c r="BU3" s="39" t="s">
        <v>94</v>
      </c>
      <c r="BV3" s="39" t="s">
        <v>87</v>
      </c>
      <c r="BW3" s="39" t="s">
        <v>92</v>
      </c>
      <c r="BX3" s="39" t="s">
        <v>93</v>
      </c>
      <c r="BY3" s="39" t="s">
        <v>94</v>
      </c>
      <c r="BZ3" s="39" t="s">
        <v>87</v>
      </c>
      <c r="CA3" s="39" t="s">
        <v>92</v>
      </c>
      <c r="CB3" s="39" t="s">
        <v>93</v>
      </c>
      <c r="CC3" s="39" t="s">
        <v>94</v>
      </c>
      <c r="CD3" s="39" t="s">
        <v>87</v>
      </c>
      <c r="CE3" s="40" t="s">
        <v>92</v>
      </c>
      <c r="CF3" s="40" t="s">
        <v>93</v>
      </c>
      <c r="CG3" s="40" t="s">
        <v>94</v>
      </c>
      <c r="CH3" s="40" t="s">
        <v>87</v>
      </c>
      <c r="CI3" s="39" t="s">
        <v>92</v>
      </c>
      <c r="CJ3" s="39" t="s">
        <v>93</v>
      </c>
      <c r="CK3" s="39" t="s">
        <v>94</v>
      </c>
      <c r="CL3" s="39" t="s">
        <v>87</v>
      </c>
      <c r="CM3" s="40" t="s">
        <v>92</v>
      </c>
      <c r="CN3" s="40" t="s">
        <v>93</v>
      </c>
      <c r="CO3" s="40" t="s">
        <v>94</v>
      </c>
      <c r="CP3" s="40" t="s">
        <v>87</v>
      </c>
      <c r="CQ3" s="39" t="s">
        <v>92</v>
      </c>
      <c r="CR3" s="39" t="s">
        <v>93</v>
      </c>
      <c r="CS3" s="39" t="s">
        <v>94</v>
      </c>
      <c r="CT3" s="39" t="s">
        <v>87</v>
      </c>
      <c r="CU3" s="40" t="s">
        <v>92</v>
      </c>
      <c r="CV3" s="40" t="s">
        <v>93</v>
      </c>
      <c r="CW3" s="40" t="s">
        <v>94</v>
      </c>
      <c r="CX3" s="40" t="s">
        <v>87</v>
      </c>
      <c r="CY3" s="39" t="s">
        <v>92</v>
      </c>
      <c r="CZ3" s="39" t="s">
        <v>93</v>
      </c>
      <c r="DA3" s="39" t="s">
        <v>94</v>
      </c>
      <c r="DB3" s="39" t="s">
        <v>87</v>
      </c>
      <c r="DC3" s="40" t="s">
        <v>92</v>
      </c>
      <c r="DD3" s="40" t="s">
        <v>93</v>
      </c>
      <c r="DE3" s="40" t="s">
        <v>94</v>
      </c>
      <c r="DF3" s="40" t="s">
        <v>87</v>
      </c>
      <c r="DG3" s="39" t="s">
        <v>92</v>
      </c>
      <c r="DH3" s="39" t="s">
        <v>93</v>
      </c>
      <c r="DI3" s="39" t="s">
        <v>94</v>
      </c>
      <c r="DJ3" s="39" t="s">
        <v>87</v>
      </c>
      <c r="DK3" s="40" t="s">
        <v>92</v>
      </c>
      <c r="DL3" s="40" t="s">
        <v>93</v>
      </c>
      <c r="DM3" s="40" t="s">
        <v>94</v>
      </c>
      <c r="DN3" s="40" t="s">
        <v>87</v>
      </c>
      <c r="DO3" s="39" t="s">
        <v>92</v>
      </c>
      <c r="DP3" s="39" t="s">
        <v>93</v>
      </c>
      <c r="DQ3" s="39" t="s">
        <v>94</v>
      </c>
      <c r="DR3" s="39" t="s">
        <v>87</v>
      </c>
      <c r="DS3" s="40" t="s">
        <v>92</v>
      </c>
      <c r="DT3" s="40" t="s">
        <v>93</v>
      </c>
      <c r="DU3" s="40" t="s">
        <v>94</v>
      </c>
      <c r="DV3" s="40" t="s">
        <v>87</v>
      </c>
      <c r="DW3" s="39" t="s">
        <v>92</v>
      </c>
      <c r="DX3" s="39" t="s">
        <v>93</v>
      </c>
      <c r="DY3" s="39" t="s">
        <v>94</v>
      </c>
      <c r="DZ3" s="39" t="s">
        <v>87</v>
      </c>
      <c r="EA3" s="40" t="s">
        <v>92</v>
      </c>
      <c r="EB3" s="40" t="s">
        <v>93</v>
      </c>
      <c r="EC3" s="40" t="s">
        <v>94</v>
      </c>
      <c r="ED3" s="40" t="s">
        <v>87</v>
      </c>
      <c r="EE3" s="39" t="s">
        <v>92</v>
      </c>
      <c r="EF3" s="39" t="s">
        <v>93</v>
      </c>
      <c r="EG3" s="39" t="s">
        <v>94</v>
      </c>
      <c r="EH3" s="39" t="s">
        <v>87</v>
      </c>
      <c r="EI3" s="40" t="s">
        <v>92</v>
      </c>
      <c r="EJ3" s="40" t="s">
        <v>93</v>
      </c>
      <c r="EK3" s="40" t="s">
        <v>94</v>
      </c>
      <c r="EL3" s="40" t="s">
        <v>87</v>
      </c>
      <c r="EM3" s="39" t="s">
        <v>92</v>
      </c>
      <c r="EN3" s="39" t="s">
        <v>93</v>
      </c>
      <c r="EO3" s="39" t="s">
        <v>94</v>
      </c>
      <c r="EP3" s="38" t="s">
        <v>87</v>
      </c>
    </row>
    <row r="4" spans="1:146" ht="9">
      <c r="A4" s="44" t="s">
        <v>95</v>
      </c>
      <c r="B4">
        <v>93</v>
      </c>
      <c r="C4">
        <v>2570</v>
      </c>
      <c r="D4">
        <v>730</v>
      </c>
      <c r="E4">
        <v>18</v>
      </c>
      <c r="F4">
        <v>3318</v>
      </c>
      <c r="G4" s="45">
        <v>582.67</v>
      </c>
      <c r="H4" s="45">
        <v>181.05</v>
      </c>
      <c r="I4" s="45">
        <v>6.19</v>
      </c>
      <c r="J4" s="45">
        <v>769.91</v>
      </c>
      <c r="K4">
        <v>299</v>
      </c>
      <c r="L4">
        <v>151</v>
      </c>
      <c r="M4">
        <v>15</v>
      </c>
      <c r="N4">
        <v>465</v>
      </c>
      <c r="O4" s="45">
        <v>535.5</v>
      </c>
      <c r="P4" s="45">
        <v>318.4</v>
      </c>
      <c r="Q4" s="45">
        <v>43.9</v>
      </c>
      <c r="R4" s="45">
        <v>897.8</v>
      </c>
      <c r="S4">
        <v>49</v>
      </c>
      <c r="T4">
        <v>41</v>
      </c>
      <c r="U4">
        <v>11</v>
      </c>
      <c r="V4">
        <v>101</v>
      </c>
      <c r="W4" s="45">
        <v>276.6</v>
      </c>
      <c r="X4" s="45">
        <v>207.7</v>
      </c>
      <c r="Y4" s="45">
        <v>65</v>
      </c>
      <c r="Z4" s="45">
        <v>549.3</v>
      </c>
      <c r="AA4">
        <v>26</v>
      </c>
      <c r="AB4">
        <v>31</v>
      </c>
      <c r="AC4">
        <v>40</v>
      </c>
      <c r="AD4">
        <v>97</v>
      </c>
      <c r="AE4" s="45">
        <v>698.1</v>
      </c>
      <c r="AF4" s="45">
        <v>730.4</v>
      </c>
      <c r="AG4" s="45">
        <v>2012.7</v>
      </c>
      <c r="AH4" s="45">
        <v>3441.2</v>
      </c>
      <c r="AI4">
        <v>16</v>
      </c>
      <c r="AJ4">
        <v>11</v>
      </c>
      <c r="AK4">
        <v>22</v>
      </c>
      <c r="AL4">
        <v>49</v>
      </c>
      <c r="AM4" s="45">
        <v>247.6</v>
      </c>
      <c r="AN4" s="45">
        <v>211.4</v>
      </c>
      <c r="AO4" s="45">
        <v>684</v>
      </c>
      <c r="AP4" s="45">
        <v>1143</v>
      </c>
      <c r="AQ4">
        <v>1</v>
      </c>
      <c r="AR4">
        <v>2</v>
      </c>
      <c r="AS4">
        <v>12</v>
      </c>
      <c r="AT4">
        <v>15</v>
      </c>
      <c r="AU4" s="45">
        <v>0.6</v>
      </c>
      <c r="AV4" s="45">
        <v>9.2</v>
      </c>
      <c r="AW4" s="45">
        <v>585.3</v>
      </c>
      <c r="AX4" s="45">
        <v>595.1</v>
      </c>
      <c r="AY4">
        <v>2</v>
      </c>
      <c r="AZ4">
        <v>3</v>
      </c>
      <c r="BA4">
        <v>6</v>
      </c>
      <c r="BB4">
        <v>11</v>
      </c>
      <c r="BC4" s="45">
        <v>3.6</v>
      </c>
      <c r="BD4" s="45">
        <v>21.6</v>
      </c>
      <c r="BE4" s="45">
        <v>619.1</v>
      </c>
      <c r="BF4" s="45">
        <v>644.3</v>
      </c>
      <c r="BG4">
        <v>0</v>
      </c>
      <c r="BH4">
        <v>1</v>
      </c>
      <c r="BI4">
        <v>11</v>
      </c>
      <c r="BJ4">
        <v>12</v>
      </c>
      <c r="BK4" s="45">
        <v>16</v>
      </c>
      <c r="BL4" s="45">
        <v>68.7</v>
      </c>
      <c r="BM4" s="45">
        <v>1587.5</v>
      </c>
      <c r="BN4" s="45">
        <v>1672.2</v>
      </c>
      <c r="BO4">
        <v>2963</v>
      </c>
      <c r="BP4">
        <v>970</v>
      </c>
      <c r="BQ4">
        <v>135</v>
      </c>
      <c r="BR4">
        <v>4068</v>
      </c>
      <c r="BS4" s="45">
        <v>2360.67</v>
      </c>
      <c r="BT4" s="45">
        <v>1748.45</v>
      </c>
      <c r="BU4" s="45">
        <v>5603.69</v>
      </c>
      <c r="BV4" s="45">
        <v>9712.81</v>
      </c>
      <c r="BW4">
        <v>2539</v>
      </c>
      <c r="BX4">
        <v>679</v>
      </c>
      <c r="BY4">
        <v>16</v>
      </c>
      <c r="BZ4">
        <v>3234</v>
      </c>
      <c r="CA4" s="45">
        <v>575.63</v>
      </c>
      <c r="CB4" s="45">
        <v>167.41</v>
      </c>
      <c r="CC4" s="45">
        <v>4.82</v>
      </c>
      <c r="CD4" s="45">
        <v>747.86</v>
      </c>
      <c r="CE4">
        <v>292</v>
      </c>
      <c r="CF4">
        <v>139</v>
      </c>
      <c r="CG4">
        <v>14</v>
      </c>
      <c r="CH4">
        <v>445</v>
      </c>
      <c r="CI4" s="45">
        <v>517.3</v>
      </c>
      <c r="CJ4" s="45">
        <v>290.7</v>
      </c>
      <c r="CK4" s="45">
        <v>37.3</v>
      </c>
      <c r="CL4" s="45">
        <v>845.3</v>
      </c>
      <c r="CM4">
        <v>49</v>
      </c>
      <c r="CN4">
        <v>36</v>
      </c>
      <c r="CO4">
        <v>11</v>
      </c>
      <c r="CP4">
        <v>96</v>
      </c>
      <c r="CQ4" s="45">
        <v>265.15</v>
      </c>
      <c r="CR4" s="45">
        <v>174.7</v>
      </c>
      <c r="CS4" s="45">
        <v>60.5</v>
      </c>
      <c r="CT4" s="45">
        <v>500.35</v>
      </c>
      <c r="CU4">
        <v>26</v>
      </c>
      <c r="CV4">
        <v>30</v>
      </c>
      <c r="CW4">
        <v>35</v>
      </c>
      <c r="CX4">
        <v>91</v>
      </c>
      <c r="CY4" s="45">
        <v>603.1</v>
      </c>
      <c r="CZ4" s="45">
        <v>655.5</v>
      </c>
      <c r="DA4" s="45">
        <v>1568.3</v>
      </c>
      <c r="DB4" s="45">
        <v>2826.9</v>
      </c>
      <c r="DC4">
        <v>16</v>
      </c>
      <c r="DD4">
        <v>12</v>
      </c>
      <c r="DE4">
        <v>20</v>
      </c>
      <c r="DF4">
        <v>48</v>
      </c>
      <c r="DG4" s="45">
        <v>245.2</v>
      </c>
      <c r="DH4" s="45">
        <v>190.2</v>
      </c>
      <c r="DI4" s="45">
        <v>497.1</v>
      </c>
      <c r="DJ4" s="45">
        <v>932.5</v>
      </c>
      <c r="DK4">
        <v>1</v>
      </c>
      <c r="DL4">
        <v>2</v>
      </c>
      <c r="DM4">
        <v>11</v>
      </c>
      <c r="DN4">
        <v>14</v>
      </c>
      <c r="DO4" s="45">
        <v>0.6</v>
      </c>
      <c r="DP4" s="45">
        <v>9.2</v>
      </c>
      <c r="DQ4" s="45">
        <v>556.4</v>
      </c>
      <c r="DR4" s="45">
        <v>566.2</v>
      </c>
      <c r="DS4">
        <v>2</v>
      </c>
      <c r="DT4">
        <v>3</v>
      </c>
      <c r="DU4">
        <v>6</v>
      </c>
      <c r="DV4">
        <v>11</v>
      </c>
      <c r="DW4" s="45">
        <v>3.5</v>
      </c>
      <c r="DX4" s="45">
        <v>21.5</v>
      </c>
      <c r="DY4" s="45">
        <v>145.4</v>
      </c>
      <c r="DZ4" s="45">
        <v>170.4</v>
      </c>
      <c r="EA4">
        <v>0</v>
      </c>
      <c r="EB4">
        <v>1</v>
      </c>
      <c r="EC4">
        <v>11</v>
      </c>
      <c r="ED4">
        <v>12</v>
      </c>
      <c r="EE4">
        <v>16</v>
      </c>
      <c r="EF4" s="45">
        <v>68.7</v>
      </c>
      <c r="EG4" s="45">
        <v>1300.2</v>
      </c>
      <c r="EH4" s="45">
        <v>1384.9</v>
      </c>
      <c r="EI4">
        <v>2925</v>
      </c>
      <c r="EJ4">
        <v>902</v>
      </c>
      <c r="EK4">
        <v>124</v>
      </c>
      <c r="EL4">
        <v>3951</v>
      </c>
      <c r="EM4" s="45">
        <v>2226.48</v>
      </c>
      <c r="EN4" s="45">
        <v>1577.91</v>
      </c>
      <c r="EO4" s="45">
        <v>4170.02</v>
      </c>
      <c r="EP4">
        <v>7974.41</v>
      </c>
    </row>
    <row r="5" spans="1:146" ht="9">
      <c r="A5" s="46"/>
      <c r="B5" s="47"/>
      <c r="C5" s="47"/>
      <c r="D5" s="47"/>
      <c r="E5" s="47"/>
      <c r="F5" s="47"/>
      <c r="G5" s="48"/>
      <c r="H5" s="48"/>
      <c r="I5" s="48"/>
      <c r="J5" s="48"/>
      <c r="K5" s="47"/>
      <c r="L5" s="47"/>
      <c r="M5" s="47"/>
      <c r="N5" s="47"/>
      <c r="O5" s="48"/>
      <c r="P5" s="48"/>
      <c r="Q5" s="48"/>
      <c r="R5" s="48"/>
      <c r="S5" s="47"/>
      <c r="T5" s="47"/>
      <c r="U5" s="47"/>
      <c r="V5" s="47"/>
      <c r="W5" s="48"/>
      <c r="X5" s="48"/>
      <c r="Y5" s="48"/>
      <c r="Z5" s="48"/>
      <c r="AA5" s="47"/>
      <c r="AB5" s="47"/>
      <c r="AC5" s="47"/>
      <c r="AD5" s="47"/>
      <c r="AE5" s="48"/>
      <c r="AF5" s="48"/>
      <c r="AG5" s="48"/>
      <c r="AH5" s="48"/>
      <c r="AI5" s="47"/>
      <c r="AJ5" s="47"/>
      <c r="AK5" s="47"/>
      <c r="AL5" s="47"/>
      <c r="AM5" s="48"/>
      <c r="AN5" s="48"/>
      <c r="AO5" s="48"/>
      <c r="AP5" s="48"/>
      <c r="AQ5" s="47"/>
      <c r="AR5" s="47"/>
      <c r="AS5" s="47"/>
      <c r="AT5" s="47"/>
      <c r="AU5" s="48"/>
      <c r="AV5" s="48"/>
      <c r="AW5" s="48"/>
      <c r="AX5" s="48"/>
      <c r="AY5" s="47"/>
      <c r="AZ5" s="47"/>
      <c r="BA5" s="47"/>
      <c r="BB5" s="47"/>
      <c r="BC5" s="48"/>
      <c r="BD5" s="48"/>
      <c r="BE5" s="48"/>
      <c r="BF5" s="48"/>
      <c r="BG5" s="47"/>
      <c r="BH5" s="47"/>
      <c r="BI5" s="47"/>
      <c r="BJ5" s="47"/>
      <c r="BK5" s="48"/>
      <c r="BL5" s="48"/>
      <c r="BM5" s="48"/>
      <c r="BN5" s="48"/>
      <c r="BO5" s="47"/>
      <c r="BP5" s="47"/>
      <c r="BQ5" s="47"/>
      <c r="BR5" s="47"/>
      <c r="BS5" s="48"/>
      <c r="BT5" s="48"/>
      <c r="BU5" s="48"/>
      <c r="BV5" s="48"/>
      <c r="BW5" s="47"/>
      <c r="BX5" s="47"/>
      <c r="BY5" s="47"/>
      <c r="BZ5" s="47"/>
      <c r="CA5" s="48"/>
      <c r="CB5" s="48"/>
      <c r="CC5" s="48"/>
      <c r="CD5" s="48"/>
      <c r="CE5" s="47"/>
      <c r="CF5" s="47"/>
      <c r="CG5" s="47"/>
      <c r="CH5" s="47"/>
      <c r="CI5" s="48"/>
      <c r="CJ5" s="48"/>
      <c r="CK5" s="48"/>
      <c r="CL5" s="48"/>
      <c r="CM5" s="47"/>
      <c r="CN5" s="47"/>
      <c r="CO5" s="47"/>
      <c r="CP5" s="47"/>
      <c r="CQ5" s="48"/>
      <c r="CR5" s="48"/>
      <c r="CS5" s="48"/>
      <c r="CT5" s="48"/>
      <c r="CU5" s="47"/>
      <c r="CV5" s="47"/>
      <c r="CW5" s="47"/>
      <c r="CX5" s="47"/>
      <c r="CY5" s="48"/>
      <c r="CZ5" s="48"/>
      <c r="DA5" s="48"/>
      <c r="DB5" s="48"/>
      <c r="DC5" s="47"/>
      <c r="DD5" s="47"/>
      <c r="DE5" s="47"/>
      <c r="DF5" s="47"/>
      <c r="DG5" s="48"/>
      <c r="DH5" s="48"/>
      <c r="DI5" s="48"/>
      <c r="DJ5" s="48"/>
      <c r="DK5" s="47"/>
      <c r="DL5" s="47"/>
      <c r="DM5" s="47"/>
      <c r="DN5" s="47"/>
      <c r="DO5" s="48"/>
      <c r="DP5" s="48"/>
      <c r="DQ5" s="48"/>
      <c r="DR5" s="48"/>
      <c r="DS5" s="47"/>
      <c r="DT5" s="47"/>
      <c r="DU5" s="47"/>
      <c r="DV5" s="47"/>
      <c r="DW5" s="48"/>
      <c r="DX5" s="48"/>
      <c r="DY5" s="48"/>
      <c r="DZ5" s="48"/>
      <c r="EA5" s="47"/>
      <c r="EB5" s="47"/>
      <c r="EC5" s="47"/>
      <c r="ED5" s="47"/>
      <c r="EE5" s="47"/>
      <c r="EF5" s="48"/>
      <c r="EG5" s="48"/>
      <c r="EH5" s="48"/>
      <c r="EI5" s="47"/>
      <c r="EJ5" s="47"/>
      <c r="EK5" s="47"/>
      <c r="EL5" s="47"/>
      <c r="EM5" s="48"/>
      <c r="EN5" s="48"/>
      <c r="EO5" s="48"/>
      <c r="EP5" s="47"/>
    </row>
    <row r="6" spans="1:146" ht="9">
      <c r="A6" s="49" t="s">
        <v>26</v>
      </c>
      <c r="B6">
        <v>24</v>
      </c>
      <c r="C6">
        <v>237</v>
      </c>
      <c r="D6">
        <v>80</v>
      </c>
      <c r="E6">
        <v>12</v>
      </c>
      <c r="F6">
        <v>329</v>
      </c>
      <c r="G6" s="45">
        <v>67.15</v>
      </c>
      <c r="H6" s="45">
        <v>21.16</v>
      </c>
      <c r="I6" s="45">
        <v>4.39</v>
      </c>
      <c r="J6" s="45">
        <v>92.7</v>
      </c>
      <c r="K6">
        <v>32</v>
      </c>
      <c r="L6">
        <v>18</v>
      </c>
      <c r="M6">
        <v>3</v>
      </c>
      <c r="N6">
        <v>53</v>
      </c>
      <c r="O6" s="45">
        <v>57.3</v>
      </c>
      <c r="P6" s="45">
        <v>30.4</v>
      </c>
      <c r="Q6" s="45">
        <v>6.3</v>
      </c>
      <c r="R6" s="45">
        <v>94</v>
      </c>
      <c r="S6">
        <v>2</v>
      </c>
      <c r="T6">
        <v>7</v>
      </c>
      <c r="U6">
        <v>8</v>
      </c>
      <c r="V6">
        <v>17</v>
      </c>
      <c r="W6" s="45">
        <v>11</v>
      </c>
      <c r="X6" s="45">
        <v>56.1</v>
      </c>
      <c r="Y6" s="45">
        <v>38.8</v>
      </c>
      <c r="Z6" s="45">
        <v>105.9</v>
      </c>
      <c r="AA6">
        <v>3</v>
      </c>
      <c r="AB6">
        <v>2</v>
      </c>
      <c r="AC6">
        <v>11</v>
      </c>
      <c r="AD6">
        <v>16</v>
      </c>
      <c r="AE6" s="45">
        <v>76.2</v>
      </c>
      <c r="AF6" s="45">
        <v>57.9</v>
      </c>
      <c r="AG6" s="45">
        <v>453.9</v>
      </c>
      <c r="AH6" s="45">
        <v>588</v>
      </c>
      <c r="AI6">
        <v>5</v>
      </c>
      <c r="AJ6">
        <v>1</v>
      </c>
      <c r="AK6">
        <v>8</v>
      </c>
      <c r="AL6">
        <v>14</v>
      </c>
      <c r="AM6" s="45">
        <v>90.6</v>
      </c>
      <c r="AN6" s="45">
        <v>9.8</v>
      </c>
      <c r="AO6" s="45">
        <v>328.5</v>
      </c>
      <c r="AP6" s="45">
        <v>428.9</v>
      </c>
      <c r="AQ6">
        <v>0</v>
      </c>
      <c r="AR6">
        <v>1</v>
      </c>
      <c r="AS6">
        <v>1</v>
      </c>
      <c r="AT6">
        <v>2</v>
      </c>
      <c r="AU6" s="45">
        <v>0</v>
      </c>
      <c r="AV6" s="45">
        <v>6.4</v>
      </c>
      <c r="AW6" s="45">
        <v>18</v>
      </c>
      <c r="AX6" s="45">
        <v>24.4</v>
      </c>
      <c r="AY6">
        <v>0</v>
      </c>
      <c r="AZ6">
        <v>0</v>
      </c>
      <c r="BA6">
        <v>1</v>
      </c>
      <c r="BB6">
        <v>1</v>
      </c>
      <c r="BC6" s="45">
        <v>0</v>
      </c>
      <c r="BD6" s="45">
        <v>0</v>
      </c>
      <c r="BE6" s="45">
        <v>19.7</v>
      </c>
      <c r="BF6" s="45">
        <v>19.7</v>
      </c>
      <c r="BG6">
        <v>1</v>
      </c>
      <c r="BH6">
        <v>1</v>
      </c>
      <c r="BI6">
        <v>1</v>
      </c>
      <c r="BJ6">
        <v>3</v>
      </c>
      <c r="BK6" s="45">
        <v>74.8</v>
      </c>
      <c r="BL6" s="45">
        <v>289.2</v>
      </c>
      <c r="BM6" s="45">
        <v>86</v>
      </c>
      <c r="BN6" s="45">
        <v>450</v>
      </c>
      <c r="BO6">
        <v>280</v>
      </c>
      <c r="BP6">
        <v>110</v>
      </c>
      <c r="BQ6">
        <v>45</v>
      </c>
      <c r="BR6">
        <v>435</v>
      </c>
      <c r="BS6" s="45">
        <v>377.05</v>
      </c>
      <c r="BT6" s="45">
        <v>470.96</v>
      </c>
      <c r="BU6" s="45">
        <v>955.59</v>
      </c>
      <c r="BV6" s="45">
        <v>1803.6</v>
      </c>
      <c r="BW6">
        <v>235</v>
      </c>
      <c r="BX6">
        <v>68</v>
      </c>
      <c r="BY6">
        <v>13</v>
      </c>
      <c r="BZ6">
        <v>316</v>
      </c>
      <c r="CA6" s="45">
        <v>65.41</v>
      </c>
      <c r="CB6" s="45">
        <v>18</v>
      </c>
      <c r="CC6" s="45">
        <v>4.53</v>
      </c>
      <c r="CD6" s="45">
        <v>87.94</v>
      </c>
      <c r="CE6">
        <v>32</v>
      </c>
      <c r="CF6">
        <v>17</v>
      </c>
      <c r="CG6">
        <v>3</v>
      </c>
      <c r="CH6">
        <v>52</v>
      </c>
      <c r="CI6" s="45">
        <v>55.4</v>
      </c>
      <c r="CJ6" s="45">
        <v>24.7</v>
      </c>
      <c r="CK6" s="45">
        <v>6.3</v>
      </c>
      <c r="CL6" s="45">
        <v>86.4</v>
      </c>
      <c r="CM6">
        <v>2</v>
      </c>
      <c r="CN6">
        <v>7</v>
      </c>
      <c r="CO6">
        <v>8</v>
      </c>
      <c r="CP6">
        <v>17</v>
      </c>
      <c r="CQ6" s="45">
        <v>11</v>
      </c>
      <c r="CR6" s="45">
        <v>37</v>
      </c>
      <c r="CS6" s="45">
        <v>41</v>
      </c>
      <c r="CT6" s="45">
        <v>89</v>
      </c>
      <c r="CU6">
        <v>3</v>
      </c>
      <c r="CV6">
        <v>2</v>
      </c>
      <c r="CW6">
        <v>12</v>
      </c>
      <c r="CX6">
        <v>17</v>
      </c>
      <c r="CY6" s="45">
        <v>76.5</v>
      </c>
      <c r="CZ6" s="45">
        <v>56.3</v>
      </c>
      <c r="DA6" s="45">
        <v>433.5</v>
      </c>
      <c r="DB6" s="45">
        <v>566.3</v>
      </c>
      <c r="DC6">
        <v>5</v>
      </c>
      <c r="DD6">
        <v>1</v>
      </c>
      <c r="DE6">
        <v>8</v>
      </c>
      <c r="DF6">
        <v>14</v>
      </c>
      <c r="DG6" s="45">
        <v>88.8</v>
      </c>
      <c r="DH6" s="45">
        <v>7</v>
      </c>
      <c r="DI6" s="45">
        <v>169.8</v>
      </c>
      <c r="DJ6" s="45">
        <v>265.6</v>
      </c>
      <c r="DK6">
        <v>0</v>
      </c>
      <c r="DL6">
        <v>1</v>
      </c>
      <c r="DM6">
        <v>1</v>
      </c>
      <c r="DN6">
        <v>2</v>
      </c>
      <c r="DO6" s="45">
        <v>0</v>
      </c>
      <c r="DP6" s="45">
        <v>6.4</v>
      </c>
      <c r="DQ6" s="45">
        <v>18</v>
      </c>
      <c r="DR6" s="45">
        <v>24.4</v>
      </c>
      <c r="DS6">
        <v>0</v>
      </c>
      <c r="DT6">
        <v>0</v>
      </c>
      <c r="DU6">
        <v>1</v>
      </c>
      <c r="DV6">
        <v>1</v>
      </c>
      <c r="DW6" s="45">
        <v>0</v>
      </c>
      <c r="DX6" s="45">
        <v>0</v>
      </c>
      <c r="DY6" s="45">
        <v>15.3</v>
      </c>
      <c r="DZ6" s="45">
        <v>15.3</v>
      </c>
      <c r="EA6">
        <v>1</v>
      </c>
      <c r="EB6">
        <v>1</v>
      </c>
      <c r="EC6">
        <v>1</v>
      </c>
      <c r="ED6">
        <v>3</v>
      </c>
      <c r="EE6">
        <v>66</v>
      </c>
      <c r="EF6" s="45">
        <v>249.9</v>
      </c>
      <c r="EG6" s="45">
        <v>62.6</v>
      </c>
      <c r="EH6" s="45">
        <v>378.5</v>
      </c>
      <c r="EI6">
        <v>278</v>
      </c>
      <c r="EJ6">
        <v>97</v>
      </c>
      <c r="EK6">
        <v>47</v>
      </c>
      <c r="EL6">
        <v>422</v>
      </c>
      <c r="EM6" s="45">
        <v>363.11</v>
      </c>
      <c r="EN6" s="45">
        <v>399.3</v>
      </c>
      <c r="EO6" s="45">
        <v>751.03</v>
      </c>
      <c r="EP6">
        <v>1513.44</v>
      </c>
    </row>
    <row r="7" spans="1:146" ht="9">
      <c r="A7" s="49" t="s">
        <v>27</v>
      </c>
      <c r="B7">
        <v>22</v>
      </c>
      <c r="C7">
        <v>160</v>
      </c>
      <c r="D7">
        <v>168</v>
      </c>
      <c r="E7">
        <v>11</v>
      </c>
      <c r="F7">
        <v>339</v>
      </c>
      <c r="G7" s="45">
        <v>40.26</v>
      </c>
      <c r="H7" s="45">
        <v>40.84</v>
      </c>
      <c r="I7" s="45">
        <v>3.17</v>
      </c>
      <c r="J7" s="45">
        <v>84.27</v>
      </c>
      <c r="K7">
        <v>15</v>
      </c>
      <c r="L7">
        <v>26</v>
      </c>
      <c r="M7">
        <v>5</v>
      </c>
      <c r="N7">
        <v>46</v>
      </c>
      <c r="O7" s="45">
        <v>26.4</v>
      </c>
      <c r="P7" s="45">
        <v>49.85</v>
      </c>
      <c r="Q7" s="45">
        <v>8.4</v>
      </c>
      <c r="R7" s="45">
        <v>84.65</v>
      </c>
      <c r="S7">
        <v>4</v>
      </c>
      <c r="T7">
        <v>3</v>
      </c>
      <c r="U7">
        <v>5</v>
      </c>
      <c r="V7">
        <v>12</v>
      </c>
      <c r="W7" s="45">
        <v>17.6</v>
      </c>
      <c r="X7" s="45">
        <v>16.8</v>
      </c>
      <c r="Y7" s="45">
        <v>55.5</v>
      </c>
      <c r="Z7" s="45">
        <v>89.9</v>
      </c>
      <c r="AA7">
        <v>2</v>
      </c>
      <c r="AB7">
        <v>3</v>
      </c>
      <c r="AC7">
        <v>15</v>
      </c>
      <c r="AD7">
        <v>20</v>
      </c>
      <c r="AE7" s="45">
        <v>21</v>
      </c>
      <c r="AF7" s="45">
        <v>54.7</v>
      </c>
      <c r="AG7" s="45">
        <v>443.3</v>
      </c>
      <c r="AH7" s="45">
        <v>519</v>
      </c>
      <c r="AI7">
        <v>1</v>
      </c>
      <c r="AJ7">
        <v>2</v>
      </c>
      <c r="AK7">
        <v>8</v>
      </c>
      <c r="AL7">
        <v>11</v>
      </c>
      <c r="AM7" s="45">
        <v>23.2</v>
      </c>
      <c r="AN7" s="45">
        <v>20</v>
      </c>
      <c r="AO7" s="45">
        <v>161.2</v>
      </c>
      <c r="AP7" s="45">
        <v>204.4</v>
      </c>
      <c r="AQ7">
        <v>0</v>
      </c>
      <c r="AR7">
        <v>0</v>
      </c>
      <c r="AS7">
        <v>6</v>
      </c>
      <c r="AT7">
        <v>6</v>
      </c>
      <c r="AU7" s="45">
        <v>0</v>
      </c>
      <c r="AV7" s="45">
        <v>0</v>
      </c>
      <c r="AW7" s="45">
        <v>235.9</v>
      </c>
      <c r="AX7" s="45">
        <v>235.9</v>
      </c>
      <c r="AY7">
        <v>0</v>
      </c>
      <c r="AZ7">
        <v>0</v>
      </c>
      <c r="BA7">
        <v>0</v>
      </c>
      <c r="BB7">
        <v>0</v>
      </c>
      <c r="BC7" s="45">
        <v>0</v>
      </c>
      <c r="BD7" s="45">
        <v>0</v>
      </c>
      <c r="BE7" s="45">
        <v>0</v>
      </c>
      <c r="BF7" s="45">
        <v>0</v>
      </c>
      <c r="BG7">
        <v>0</v>
      </c>
      <c r="BH7">
        <v>0</v>
      </c>
      <c r="BI7">
        <v>3</v>
      </c>
      <c r="BJ7">
        <v>3</v>
      </c>
      <c r="BK7" s="45">
        <v>0</v>
      </c>
      <c r="BL7" s="45">
        <v>0</v>
      </c>
      <c r="BM7" s="45">
        <v>527.4</v>
      </c>
      <c r="BN7" s="45">
        <v>527.4</v>
      </c>
      <c r="BO7">
        <v>182</v>
      </c>
      <c r="BP7">
        <v>202</v>
      </c>
      <c r="BQ7">
        <v>53</v>
      </c>
      <c r="BR7">
        <v>437</v>
      </c>
      <c r="BS7" s="45">
        <v>128.46</v>
      </c>
      <c r="BT7" s="45">
        <v>182.19</v>
      </c>
      <c r="BU7" s="45">
        <v>1434.87</v>
      </c>
      <c r="BV7" s="45">
        <v>1745.52</v>
      </c>
      <c r="BW7">
        <v>160</v>
      </c>
      <c r="BX7">
        <v>151</v>
      </c>
      <c r="BY7">
        <v>11</v>
      </c>
      <c r="BZ7">
        <v>322</v>
      </c>
      <c r="CA7" s="45">
        <v>39.46</v>
      </c>
      <c r="CB7" s="45">
        <v>37.55</v>
      </c>
      <c r="CC7" s="45">
        <v>3.55</v>
      </c>
      <c r="CD7" s="45">
        <v>80.56</v>
      </c>
      <c r="CE7">
        <v>15</v>
      </c>
      <c r="CF7">
        <v>25</v>
      </c>
      <c r="CG7">
        <v>5</v>
      </c>
      <c r="CH7">
        <v>45</v>
      </c>
      <c r="CI7" s="45">
        <v>26.1</v>
      </c>
      <c r="CJ7" s="45">
        <v>46.37</v>
      </c>
      <c r="CK7" s="45">
        <v>8.44</v>
      </c>
      <c r="CL7" s="45">
        <v>80.91</v>
      </c>
      <c r="CM7">
        <v>4</v>
      </c>
      <c r="CN7">
        <v>2</v>
      </c>
      <c r="CO7">
        <v>5</v>
      </c>
      <c r="CP7">
        <v>11</v>
      </c>
      <c r="CQ7" s="45">
        <v>17.8</v>
      </c>
      <c r="CR7" s="45">
        <v>5.4</v>
      </c>
      <c r="CS7" s="45">
        <v>55.3</v>
      </c>
      <c r="CT7" s="45">
        <v>78.5</v>
      </c>
      <c r="CU7">
        <v>2</v>
      </c>
      <c r="CV7">
        <v>3</v>
      </c>
      <c r="CW7">
        <v>13</v>
      </c>
      <c r="CX7">
        <v>18</v>
      </c>
      <c r="CY7" s="45">
        <v>20.3</v>
      </c>
      <c r="CZ7" s="45">
        <v>99.1</v>
      </c>
      <c r="DA7" s="45">
        <v>240.09</v>
      </c>
      <c r="DB7" s="45">
        <v>359.49</v>
      </c>
      <c r="DC7">
        <v>1</v>
      </c>
      <c r="DD7">
        <v>2</v>
      </c>
      <c r="DE7">
        <v>7</v>
      </c>
      <c r="DF7">
        <v>10</v>
      </c>
      <c r="DG7" s="45">
        <v>25.4</v>
      </c>
      <c r="DH7" s="45">
        <v>20</v>
      </c>
      <c r="DI7" s="45">
        <v>139</v>
      </c>
      <c r="DJ7" s="45">
        <v>184.4</v>
      </c>
      <c r="DK7">
        <v>0</v>
      </c>
      <c r="DL7">
        <v>0</v>
      </c>
      <c r="DM7">
        <v>5</v>
      </c>
      <c r="DN7">
        <v>5</v>
      </c>
      <c r="DO7" s="45">
        <v>0</v>
      </c>
      <c r="DP7" s="45">
        <v>0</v>
      </c>
      <c r="DQ7" s="45">
        <v>83.98</v>
      </c>
      <c r="DR7" s="45">
        <v>83.98</v>
      </c>
      <c r="DS7">
        <v>0</v>
      </c>
      <c r="DT7">
        <v>0</v>
      </c>
      <c r="DU7">
        <v>0</v>
      </c>
      <c r="DV7">
        <v>0</v>
      </c>
      <c r="DW7" s="45">
        <v>0</v>
      </c>
      <c r="DX7" s="45">
        <v>0</v>
      </c>
      <c r="DY7" s="45">
        <v>0</v>
      </c>
      <c r="DZ7" s="45">
        <v>0</v>
      </c>
      <c r="EA7">
        <v>0</v>
      </c>
      <c r="EB7">
        <v>0</v>
      </c>
      <c r="EC7">
        <v>3</v>
      </c>
      <c r="ED7">
        <v>3</v>
      </c>
      <c r="EE7">
        <v>0</v>
      </c>
      <c r="EF7" s="45">
        <v>0</v>
      </c>
      <c r="EG7" s="45">
        <v>185.8</v>
      </c>
      <c r="EH7" s="45">
        <v>185.8</v>
      </c>
      <c r="EI7">
        <v>182</v>
      </c>
      <c r="EJ7">
        <v>183</v>
      </c>
      <c r="EK7">
        <v>49</v>
      </c>
      <c r="EL7">
        <v>414</v>
      </c>
      <c r="EM7" s="45">
        <v>129.06</v>
      </c>
      <c r="EN7" s="45">
        <v>208.42</v>
      </c>
      <c r="EO7" s="45">
        <v>716.16</v>
      </c>
      <c r="EP7">
        <v>1053.64</v>
      </c>
    </row>
    <row r="8" spans="1:146" ht="9">
      <c r="A8" s="49" t="s">
        <v>28</v>
      </c>
      <c r="B8">
        <v>32</v>
      </c>
      <c r="C8">
        <v>543</v>
      </c>
      <c r="D8">
        <v>184</v>
      </c>
      <c r="E8">
        <v>32</v>
      </c>
      <c r="F8">
        <v>759</v>
      </c>
      <c r="G8" s="45">
        <v>137.23</v>
      </c>
      <c r="H8" s="45">
        <v>51.44</v>
      </c>
      <c r="I8" s="45">
        <v>13.68</v>
      </c>
      <c r="J8" s="45">
        <v>202.35</v>
      </c>
      <c r="K8">
        <v>55</v>
      </c>
      <c r="L8">
        <v>37</v>
      </c>
      <c r="M8">
        <v>7</v>
      </c>
      <c r="N8">
        <v>99</v>
      </c>
      <c r="O8" s="45">
        <v>109.7</v>
      </c>
      <c r="P8" s="45">
        <v>72.4</v>
      </c>
      <c r="Q8" s="45">
        <v>15.8</v>
      </c>
      <c r="R8" s="45">
        <v>197.9</v>
      </c>
      <c r="S8">
        <v>11</v>
      </c>
      <c r="T8">
        <v>6</v>
      </c>
      <c r="U8">
        <v>14</v>
      </c>
      <c r="V8">
        <v>31</v>
      </c>
      <c r="W8" s="45">
        <v>76.5</v>
      </c>
      <c r="X8" s="45">
        <v>41.9</v>
      </c>
      <c r="Y8" s="45">
        <v>78.35</v>
      </c>
      <c r="Z8" s="45">
        <v>196.75</v>
      </c>
      <c r="AA8">
        <v>5</v>
      </c>
      <c r="AB8">
        <v>7</v>
      </c>
      <c r="AC8">
        <v>5</v>
      </c>
      <c r="AD8">
        <v>17</v>
      </c>
      <c r="AE8" s="45">
        <v>72.3</v>
      </c>
      <c r="AF8" s="45">
        <v>174.3</v>
      </c>
      <c r="AG8" s="45">
        <v>171</v>
      </c>
      <c r="AH8" s="45">
        <v>417.6</v>
      </c>
      <c r="AI8">
        <v>1</v>
      </c>
      <c r="AJ8">
        <v>3</v>
      </c>
      <c r="AK8">
        <v>5</v>
      </c>
      <c r="AL8">
        <v>9</v>
      </c>
      <c r="AM8" s="45">
        <v>15.4</v>
      </c>
      <c r="AN8" s="45">
        <v>84.7</v>
      </c>
      <c r="AO8" s="45">
        <v>56.1</v>
      </c>
      <c r="AP8" s="45">
        <v>156.2</v>
      </c>
      <c r="AQ8">
        <v>4</v>
      </c>
      <c r="AR8">
        <v>0</v>
      </c>
      <c r="AS8">
        <v>3</v>
      </c>
      <c r="AT8">
        <v>7</v>
      </c>
      <c r="AU8" s="45">
        <v>93.1</v>
      </c>
      <c r="AV8" s="45">
        <v>0</v>
      </c>
      <c r="AW8" s="45">
        <v>184.6</v>
      </c>
      <c r="AX8" s="45">
        <v>277.7</v>
      </c>
      <c r="AY8">
        <v>7</v>
      </c>
      <c r="AZ8">
        <v>2</v>
      </c>
      <c r="BA8">
        <v>0</v>
      </c>
      <c r="BB8">
        <v>9</v>
      </c>
      <c r="BC8" s="45">
        <v>12.4</v>
      </c>
      <c r="BD8" s="45">
        <v>13.7</v>
      </c>
      <c r="BE8" s="45">
        <v>0</v>
      </c>
      <c r="BF8" s="45">
        <v>26.1</v>
      </c>
      <c r="BG8">
        <v>0</v>
      </c>
      <c r="BH8">
        <v>0</v>
      </c>
      <c r="BI8">
        <v>4</v>
      </c>
      <c r="BJ8">
        <v>4</v>
      </c>
      <c r="BK8" s="45">
        <v>0</v>
      </c>
      <c r="BL8" s="45">
        <v>0</v>
      </c>
      <c r="BM8" s="45">
        <v>1447</v>
      </c>
      <c r="BN8" s="45">
        <v>1447</v>
      </c>
      <c r="BO8">
        <v>626</v>
      </c>
      <c r="BP8">
        <v>239</v>
      </c>
      <c r="BQ8">
        <v>70</v>
      </c>
      <c r="BR8">
        <v>935</v>
      </c>
      <c r="BS8" s="45">
        <v>516.63</v>
      </c>
      <c r="BT8" s="45">
        <v>438.44</v>
      </c>
      <c r="BU8" s="45">
        <v>1966.53</v>
      </c>
      <c r="BV8" s="45">
        <v>2921.6</v>
      </c>
      <c r="BW8">
        <v>529</v>
      </c>
      <c r="BX8">
        <v>175</v>
      </c>
      <c r="BY8">
        <v>24</v>
      </c>
      <c r="BZ8">
        <v>728</v>
      </c>
      <c r="CA8" s="45">
        <v>134.18</v>
      </c>
      <c r="CB8" s="45">
        <v>47.56</v>
      </c>
      <c r="CC8" s="45">
        <v>11.72</v>
      </c>
      <c r="CD8" s="45">
        <v>193.46</v>
      </c>
      <c r="CE8">
        <v>53</v>
      </c>
      <c r="CF8">
        <v>29</v>
      </c>
      <c r="CG8">
        <v>8</v>
      </c>
      <c r="CH8">
        <v>90</v>
      </c>
      <c r="CI8" s="45">
        <v>105.24</v>
      </c>
      <c r="CJ8" s="45">
        <v>58.9</v>
      </c>
      <c r="CK8" s="45">
        <v>18</v>
      </c>
      <c r="CL8" s="45">
        <v>182.14</v>
      </c>
      <c r="CM8">
        <v>11</v>
      </c>
      <c r="CN8">
        <v>6</v>
      </c>
      <c r="CO8">
        <v>13</v>
      </c>
      <c r="CP8">
        <v>30</v>
      </c>
      <c r="CQ8" s="45">
        <v>75.5</v>
      </c>
      <c r="CR8" s="45">
        <v>43.01</v>
      </c>
      <c r="CS8" s="45">
        <v>72.55</v>
      </c>
      <c r="CT8" s="45">
        <v>191.06</v>
      </c>
      <c r="CU8">
        <v>5</v>
      </c>
      <c r="CV8">
        <v>6</v>
      </c>
      <c r="CW8">
        <v>5</v>
      </c>
      <c r="CX8">
        <v>16</v>
      </c>
      <c r="CY8" s="45">
        <v>70.3</v>
      </c>
      <c r="CZ8" s="45">
        <v>86.47</v>
      </c>
      <c r="DA8" s="45">
        <v>132.1</v>
      </c>
      <c r="DB8" s="45">
        <v>288.87</v>
      </c>
      <c r="DC8">
        <v>1</v>
      </c>
      <c r="DD8">
        <v>3</v>
      </c>
      <c r="DE8">
        <v>5</v>
      </c>
      <c r="DF8">
        <v>9</v>
      </c>
      <c r="DG8" s="45">
        <v>15.4</v>
      </c>
      <c r="DH8" s="45">
        <v>59.7</v>
      </c>
      <c r="DI8" s="45">
        <v>56.1</v>
      </c>
      <c r="DJ8" s="45">
        <v>131.2</v>
      </c>
      <c r="DK8">
        <v>4</v>
      </c>
      <c r="DL8">
        <v>0</v>
      </c>
      <c r="DM8">
        <v>3</v>
      </c>
      <c r="DN8">
        <v>7</v>
      </c>
      <c r="DO8" s="45">
        <v>75.7</v>
      </c>
      <c r="DP8" s="45">
        <v>0</v>
      </c>
      <c r="DQ8" s="45">
        <v>114.5</v>
      </c>
      <c r="DR8" s="45">
        <v>190.2</v>
      </c>
      <c r="DS8">
        <v>7</v>
      </c>
      <c r="DT8">
        <v>2</v>
      </c>
      <c r="DU8">
        <v>0</v>
      </c>
      <c r="DV8">
        <v>9</v>
      </c>
      <c r="DW8" s="45">
        <v>12.4</v>
      </c>
      <c r="DX8" s="45">
        <v>13.7</v>
      </c>
      <c r="DY8" s="45">
        <v>0</v>
      </c>
      <c r="DZ8" s="45">
        <v>26.1</v>
      </c>
      <c r="EA8">
        <v>0</v>
      </c>
      <c r="EB8">
        <v>0</v>
      </c>
      <c r="EC8">
        <v>4</v>
      </c>
      <c r="ED8">
        <v>4</v>
      </c>
      <c r="EE8">
        <v>0</v>
      </c>
      <c r="EF8" s="45">
        <v>0</v>
      </c>
      <c r="EG8" s="45">
        <v>524.9</v>
      </c>
      <c r="EH8" s="45">
        <v>524.9</v>
      </c>
      <c r="EI8">
        <v>610</v>
      </c>
      <c r="EJ8">
        <v>221</v>
      </c>
      <c r="EK8">
        <v>62</v>
      </c>
      <c r="EL8">
        <v>893</v>
      </c>
      <c r="EM8" s="45">
        <v>488.72</v>
      </c>
      <c r="EN8" s="45">
        <v>309.34</v>
      </c>
      <c r="EO8" s="45">
        <v>929.87</v>
      </c>
      <c r="EP8">
        <v>1727.93</v>
      </c>
    </row>
    <row r="9" spans="1:146" ht="9">
      <c r="A9" s="49" t="s">
        <v>29</v>
      </c>
      <c r="B9">
        <v>18</v>
      </c>
      <c r="C9">
        <v>285</v>
      </c>
      <c r="D9">
        <v>105</v>
      </c>
      <c r="E9">
        <v>45</v>
      </c>
      <c r="F9">
        <v>435</v>
      </c>
      <c r="G9" s="45">
        <v>66.78</v>
      </c>
      <c r="H9" s="45">
        <v>27.58</v>
      </c>
      <c r="I9" s="45">
        <v>13.28</v>
      </c>
      <c r="J9" s="45">
        <v>107.64</v>
      </c>
      <c r="K9">
        <v>17</v>
      </c>
      <c r="L9">
        <v>15</v>
      </c>
      <c r="M9">
        <v>4</v>
      </c>
      <c r="N9">
        <v>36</v>
      </c>
      <c r="O9" s="45">
        <v>30.4</v>
      </c>
      <c r="P9" s="45">
        <v>36.3</v>
      </c>
      <c r="Q9" s="45">
        <v>9.6</v>
      </c>
      <c r="R9" s="45">
        <v>76.3</v>
      </c>
      <c r="S9">
        <v>6</v>
      </c>
      <c r="T9">
        <v>8</v>
      </c>
      <c r="U9">
        <v>13</v>
      </c>
      <c r="V9">
        <v>27</v>
      </c>
      <c r="W9" s="45">
        <v>23.6</v>
      </c>
      <c r="X9" s="45">
        <v>51.9</v>
      </c>
      <c r="Y9" s="45">
        <v>93.2</v>
      </c>
      <c r="Z9" s="45">
        <v>168.7</v>
      </c>
      <c r="AA9">
        <v>3</v>
      </c>
      <c r="AB9">
        <v>4</v>
      </c>
      <c r="AC9">
        <v>18</v>
      </c>
      <c r="AD9">
        <v>25</v>
      </c>
      <c r="AE9" s="45">
        <v>48.3</v>
      </c>
      <c r="AF9" s="45">
        <v>105.1</v>
      </c>
      <c r="AG9" s="45">
        <v>864.4</v>
      </c>
      <c r="AH9" s="45">
        <v>1017.8</v>
      </c>
      <c r="AI9">
        <v>1</v>
      </c>
      <c r="AJ9">
        <v>1</v>
      </c>
      <c r="AK9">
        <v>4</v>
      </c>
      <c r="AL9">
        <v>6</v>
      </c>
      <c r="AM9" s="45">
        <v>26.7</v>
      </c>
      <c r="AN9" s="45">
        <v>7.3</v>
      </c>
      <c r="AO9" s="45">
        <v>181</v>
      </c>
      <c r="AP9" s="45">
        <v>215</v>
      </c>
      <c r="AQ9">
        <v>0</v>
      </c>
      <c r="AR9">
        <v>0</v>
      </c>
      <c r="AS9">
        <v>3</v>
      </c>
      <c r="AT9">
        <v>3</v>
      </c>
      <c r="AU9" s="45">
        <v>0</v>
      </c>
      <c r="AV9" s="45">
        <v>0</v>
      </c>
      <c r="AW9" s="45">
        <v>234.9</v>
      </c>
      <c r="AX9" s="45">
        <v>234.9</v>
      </c>
      <c r="AY9">
        <v>1</v>
      </c>
      <c r="AZ9">
        <v>1</v>
      </c>
      <c r="BA9">
        <v>0</v>
      </c>
      <c r="BB9">
        <v>2</v>
      </c>
      <c r="BC9" s="45">
        <v>39.2</v>
      </c>
      <c r="BD9" s="45">
        <v>0.5</v>
      </c>
      <c r="BE9" s="45">
        <v>0</v>
      </c>
      <c r="BF9" s="45">
        <v>39.7</v>
      </c>
      <c r="BG9">
        <v>0</v>
      </c>
      <c r="BH9">
        <v>0</v>
      </c>
      <c r="BI9">
        <v>3</v>
      </c>
      <c r="BJ9">
        <v>3</v>
      </c>
      <c r="BK9" s="45">
        <v>0</v>
      </c>
      <c r="BL9" s="45">
        <v>0</v>
      </c>
      <c r="BM9" s="45">
        <v>954.5</v>
      </c>
      <c r="BN9" s="45">
        <v>954.5</v>
      </c>
      <c r="BO9">
        <v>313</v>
      </c>
      <c r="BP9">
        <v>134</v>
      </c>
      <c r="BQ9">
        <v>90</v>
      </c>
      <c r="BR9">
        <v>537</v>
      </c>
      <c r="BS9" s="45">
        <v>234.98</v>
      </c>
      <c r="BT9" s="45">
        <v>228.68</v>
      </c>
      <c r="BU9" s="45">
        <v>2350.88</v>
      </c>
      <c r="BV9" s="45">
        <v>2814.54</v>
      </c>
      <c r="BW9">
        <v>212</v>
      </c>
      <c r="BX9">
        <v>97</v>
      </c>
      <c r="BY9">
        <v>43</v>
      </c>
      <c r="BZ9">
        <v>352</v>
      </c>
      <c r="CA9" s="45">
        <v>45.7</v>
      </c>
      <c r="CB9" s="45">
        <v>22.18</v>
      </c>
      <c r="CC9" s="45">
        <v>12.28</v>
      </c>
      <c r="CD9" s="45">
        <v>80.16</v>
      </c>
      <c r="CE9">
        <v>7</v>
      </c>
      <c r="CF9">
        <v>11</v>
      </c>
      <c r="CG9">
        <v>4</v>
      </c>
      <c r="CH9">
        <v>22</v>
      </c>
      <c r="CI9" s="45">
        <v>14.1</v>
      </c>
      <c r="CJ9" s="45">
        <v>23.6</v>
      </c>
      <c r="CK9" s="45">
        <v>8.4</v>
      </c>
      <c r="CL9" s="45">
        <v>46.1</v>
      </c>
      <c r="CM9">
        <v>5</v>
      </c>
      <c r="CN9">
        <v>8</v>
      </c>
      <c r="CO9">
        <v>12</v>
      </c>
      <c r="CP9">
        <v>25</v>
      </c>
      <c r="CQ9" s="45">
        <v>17.4</v>
      </c>
      <c r="CR9" s="45">
        <v>46</v>
      </c>
      <c r="CS9" s="45">
        <v>74.1</v>
      </c>
      <c r="CT9" s="45">
        <v>137.5</v>
      </c>
      <c r="CU9">
        <v>3</v>
      </c>
      <c r="CV9">
        <v>4</v>
      </c>
      <c r="CW9">
        <v>17</v>
      </c>
      <c r="CX9">
        <v>24</v>
      </c>
      <c r="CY9" s="45">
        <v>42.1</v>
      </c>
      <c r="CZ9" s="45">
        <v>62.8</v>
      </c>
      <c r="DA9" s="45">
        <v>457.5</v>
      </c>
      <c r="DB9" s="45">
        <v>562.4</v>
      </c>
      <c r="DC9">
        <v>1</v>
      </c>
      <c r="DD9">
        <v>1</v>
      </c>
      <c r="DE9">
        <v>4</v>
      </c>
      <c r="DF9">
        <v>6</v>
      </c>
      <c r="DG9" s="45">
        <v>21.7</v>
      </c>
      <c r="DH9" s="45">
        <v>7.3</v>
      </c>
      <c r="DI9" s="45">
        <v>85.9</v>
      </c>
      <c r="DJ9" s="45">
        <v>114.9</v>
      </c>
      <c r="DK9">
        <v>0</v>
      </c>
      <c r="DL9">
        <v>0</v>
      </c>
      <c r="DM9">
        <v>0</v>
      </c>
      <c r="DN9">
        <v>0</v>
      </c>
      <c r="DO9" s="45">
        <v>0</v>
      </c>
      <c r="DP9" s="45">
        <v>0</v>
      </c>
      <c r="DQ9" s="45">
        <v>0</v>
      </c>
      <c r="DR9" s="45">
        <v>0</v>
      </c>
      <c r="DS9">
        <v>0</v>
      </c>
      <c r="DT9">
        <v>2</v>
      </c>
      <c r="DU9">
        <v>0</v>
      </c>
      <c r="DV9">
        <v>2</v>
      </c>
      <c r="DW9" s="45">
        <v>0</v>
      </c>
      <c r="DX9" s="45">
        <v>2.8</v>
      </c>
      <c r="DY9" s="45">
        <v>0</v>
      </c>
      <c r="DZ9" s="45">
        <v>2.8</v>
      </c>
      <c r="EA9">
        <v>0</v>
      </c>
      <c r="EB9">
        <v>0</v>
      </c>
      <c r="EC9">
        <v>3</v>
      </c>
      <c r="ED9">
        <v>3</v>
      </c>
      <c r="EE9">
        <v>0</v>
      </c>
      <c r="EF9" s="45">
        <v>0</v>
      </c>
      <c r="EG9" s="45">
        <v>289.9</v>
      </c>
      <c r="EH9" s="45">
        <v>289.9</v>
      </c>
      <c r="EI9">
        <v>228</v>
      </c>
      <c r="EJ9">
        <v>123</v>
      </c>
      <c r="EK9">
        <v>83</v>
      </c>
      <c r="EL9">
        <v>434</v>
      </c>
      <c r="EM9" s="45">
        <v>141</v>
      </c>
      <c r="EN9" s="45">
        <v>164.68</v>
      </c>
      <c r="EO9" s="45">
        <v>928.08</v>
      </c>
      <c r="EP9">
        <v>1233.76</v>
      </c>
    </row>
    <row r="10" spans="1:146" ht="9">
      <c r="A10" s="49" t="s">
        <v>30</v>
      </c>
      <c r="B10">
        <v>30</v>
      </c>
      <c r="C10">
        <v>338</v>
      </c>
      <c r="D10">
        <v>127</v>
      </c>
      <c r="E10">
        <v>3</v>
      </c>
      <c r="F10">
        <v>468</v>
      </c>
      <c r="G10" s="45">
        <v>79.6</v>
      </c>
      <c r="H10" s="45">
        <v>32.22</v>
      </c>
      <c r="I10" s="45">
        <v>0.66</v>
      </c>
      <c r="J10" s="45">
        <v>112.48</v>
      </c>
      <c r="K10">
        <v>29</v>
      </c>
      <c r="L10">
        <v>17</v>
      </c>
      <c r="M10">
        <v>8</v>
      </c>
      <c r="N10">
        <v>54</v>
      </c>
      <c r="O10" s="45">
        <v>41.8</v>
      </c>
      <c r="P10" s="45">
        <v>23.5</v>
      </c>
      <c r="Q10" s="45">
        <v>17.9</v>
      </c>
      <c r="R10" s="45">
        <v>83.2</v>
      </c>
      <c r="S10">
        <v>8</v>
      </c>
      <c r="T10">
        <v>3</v>
      </c>
      <c r="U10">
        <v>3</v>
      </c>
      <c r="V10">
        <v>14</v>
      </c>
      <c r="W10" s="45">
        <v>51.1</v>
      </c>
      <c r="X10" s="45">
        <v>12.2</v>
      </c>
      <c r="Y10" s="45">
        <v>27.1</v>
      </c>
      <c r="Z10" s="45">
        <v>90.4</v>
      </c>
      <c r="AA10">
        <v>5</v>
      </c>
      <c r="AB10">
        <v>6</v>
      </c>
      <c r="AC10">
        <v>10</v>
      </c>
      <c r="AD10">
        <v>21</v>
      </c>
      <c r="AE10" s="45">
        <v>86</v>
      </c>
      <c r="AF10" s="45">
        <v>278.4</v>
      </c>
      <c r="AG10" s="45">
        <v>331.2</v>
      </c>
      <c r="AH10" s="45">
        <v>695.6</v>
      </c>
      <c r="AI10">
        <v>2</v>
      </c>
      <c r="AJ10">
        <v>0</v>
      </c>
      <c r="AK10">
        <v>8</v>
      </c>
      <c r="AL10">
        <v>10</v>
      </c>
      <c r="AM10" s="45">
        <v>24.6</v>
      </c>
      <c r="AN10" s="45">
        <v>0</v>
      </c>
      <c r="AO10" s="45">
        <v>92</v>
      </c>
      <c r="AP10" s="45">
        <v>116.6</v>
      </c>
      <c r="AQ10">
        <v>0</v>
      </c>
      <c r="AR10">
        <v>0</v>
      </c>
      <c r="AS10">
        <v>4</v>
      </c>
      <c r="AT10">
        <v>4</v>
      </c>
      <c r="AU10" s="45">
        <v>0</v>
      </c>
      <c r="AV10" s="45">
        <v>0</v>
      </c>
      <c r="AW10" s="45">
        <v>336.6</v>
      </c>
      <c r="AX10" s="45">
        <v>336.6</v>
      </c>
      <c r="AY10">
        <v>0</v>
      </c>
      <c r="AZ10">
        <v>0</v>
      </c>
      <c r="BA10">
        <v>4</v>
      </c>
      <c r="BB10">
        <v>4</v>
      </c>
      <c r="BC10" s="45">
        <v>0</v>
      </c>
      <c r="BD10" s="45">
        <v>0</v>
      </c>
      <c r="BE10" s="45">
        <v>39.5</v>
      </c>
      <c r="BF10" s="45">
        <v>39.5</v>
      </c>
      <c r="BG10">
        <v>0</v>
      </c>
      <c r="BH10">
        <v>0</v>
      </c>
      <c r="BI10">
        <v>3</v>
      </c>
      <c r="BJ10">
        <v>3</v>
      </c>
      <c r="BK10" s="45">
        <v>0</v>
      </c>
      <c r="BL10" s="45">
        <v>0</v>
      </c>
      <c r="BM10" s="45">
        <v>264.1</v>
      </c>
      <c r="BN10" s="45">
        <v>264.1</v>
      </c>
      <c r="BO10">
        <v>382</v>
      </c>
      <c r="BP10">
        <v>153</v>
      </c>
      <c r="BQ10">
        <v>43</v>
      </c>
      <c r="BR10">
        <v>578</v>
      </c>
      <c r="BS10" s="45">
        <v>283.1</v>
      </c>
      <c r="BT10" s="45">
        <v>346.32</v>
      </c>
      <c r="BU10" s="45">
        <v>1109.06</v>
      </c>
      <c r="BV10" s="45">
        <v>1738.48</v>
      </c>
      <c r="BW10">
        <v>329</v>
      </c>
      <c r="BX10">
        <v>114</v>
      </c>
      <c r="BY10">
        <v>3</v>
      </c>
      <c r="BZ10">
        <v>446</v>
      </c>
      <c r="CA10" s="45">
        <v>77.63</v>
      </c>
      <c r="CB10" s="45">
        <v>28.31</v>
      </c>
      <c r="CC10" s="45">
        <v>0.66</v>
      </c>
      <c r="CD10" s="45">
        <v>106.6</v>
      </c>
      <c r="CE10">
        <v>29</v>
      </c>
      <c r="CF10">
        <v>15</v>
      </c>
      <c r="CG10">
        <v>8</v>
      </c>
      <c r="CH10">
        <v>52</v>
      </c>
      <c r="CI10" s="45">
        <v>40.1</v>
      </c>
      <c r="CJ10" s="45">
        <v>21</v>
      </c>
      <c r="CK10" s="45">
        <v>17.9</v>
      </c>
      <c r="CL10" s="45">
        <v>79</v>
      </c>
      <c r="CM10">
        <v>8</v>
      </c>
      <c r="CN10">
        <v>1</v>
      </c>
      <c r="CO10">
        <v>3</v>
      </c>
      <c r="CP10">
        <v>12</v>
      </c>
      <c r="CQ10" s="45">
        <v>47.6</v>
      </c>
      <c r="CR10" s="45">
        <v>5</v>
      </c>
      <c r="CS10" s="45">
        <v>24.9</v>
      </c>
      <c r="CT10" s="45">
        <v>77.5</v>
      </c>
      <c r="CU10">
        <v>5</v>
      </c>
      <c r="CV10">
        <v>6</v>
      </c>
      <c r="CW10">
        <v>10</v>
      </c>
      <c r="CX10">
        <v>21</v>
      </c>
      <c r="CY10" s="45">
        <v>85.2</v>
      </c>
      <c r="CZ10" s="45">
        <v>136.5</v>
      </c>
      <c r="DA10" s="45">
        <v>211.6</v>
      </c>
      <c r="DB10" s="45">
        <v>433.3</v>
      </c>
      <c r="DC10">
        <v>1</v>
      </c>
      <c r="DD10">
        <v>0</v>
      </c>
      <c r="DE10">
        <v>7</v>
      </c>
      <c r="DF10">
        <v>8</v>
      </c>
      <c r="DG10" s="45">
        <v>22.6</v>
      </c>
      <c r="DH10" s="45">
        <v>0</v>
      </c>
      <c r="DI10" s="45">
        <v>82.9</v>
      </c>
      <c r="DJ10" s="45">
        <v>105.5</v>
      </c>
      <c r="DK10">
        <v>0</v>
      </c>
      <c r="DL10">
        <v>0</v>
      </c>
      <c r="DM10">
        <v>4</v>
      </c>
      <c r="DN10">
        <v>4</v>
      </c>
      <c r="DO10" s="45">
        <v>0</v>
      </c>
      <c r="DP10" s="45">
        <v>0</v>
      </c>
      <c r="DQ10" s="45">
        <v>77.1</v>
      </c>
      <c r="DR10" s="45">
        <v>77.1</v>
      </c>
      <c r="DS10">
        <v>0</v>
      </c>
      <c r="DT10">
        <v>0</v>
      </c>
      <c r="DU10">
        <v>2</v>
      </c>
      <c r="DV10">
        <v>2</v>
      </c>
      <c r="DW10" s="45">
        <v>0</v>
      </c>
      <c r="DX10" s="45">
        <v>0</v>
      </c>
      <c r="DY10" s="45">
        <v>20.4</v>
      </c>
      <c r="DZ10" s="45">
        <v>20.4</v>
      </c>
      <c r="EA10">
        <v>0</v>
      </c>
      <c r="EB10">
        <v>0</v>
      </c>
      <c r="EC10">
        <v>3</v>
      </c>
      <c r="ED10">
        <v>3</v>
      </c>
      <c r="EE10">
        <v>0</v>
      </c>
      <c r="EF10" s="45">
        <v>0</v>
      </c>
      <c r="EG10" s="45">
        <v>237.2</v>
      </c>
      <c r="EH10" s="45">
        <v>237.2</v>
      </c>
      <c r="EI10">
        <v>372</v>
      </c>
      <c r="EJ10">
        <v>136</v>
      </c>
      <c r="EK10">
        <v>40</v>
      </c>
      <c r="EL10">
        <v>548</v>
      </c>
      <c r="EM10" s="45">
        <v>273.13</v>
      </c>
      <c r="EN10" s="45">
        <v>190.81</v>
      </c>
      <c r="EO10" s="45">
        <v>672.66</v>
      </c>
      <c r="EP10">
        <v>1136.6</v>
      </c>
    </row>
    <row r="11" spans="1:146" ht="9">
      <c r="A11" s="49" t="s">
        <v>31</v>
      </c>
      <c r="B11">
        <v>32</v>
      </c>
      <c r="C11">
        <v>214</v>
      </c>
      <c r="D11">
        <v>195</v>
      </c>
      <c r="E11">
        <v>17</v>
      </c>
      <c r="F11">
        <v>426</v>
      </c>
      <c r="G11" s="45">
        <v>59.33</v>
      </c>
      <c r="H11" s="45">
        <v>56.31</v>
      </c>
      <c r="I11" s="45">
        <v>5.79</v>
      </c>
      <c r="J11" s="45">
        <v>121.43</v>
      </c>
      <c r="K11">
        <v>25</v>
      </c>
      <c r="L11">
        <v>22</v>
      </c>
      <c r="M11">
        <v>11</v>
      </c>
      <c r="N11">
        <v>58</v>
      </c>
      <c r="O11" s="45">
        <v>50.4</v>
      </c>
      <c r="P11" s="45">
        <v>57</v>
      </c>
      <c r="Q11" s="45">
        <v>30.1</v>
      </c>
      <c r="R11" s="45">
        <v>137.5</v>
      </c>
      <c r="S11">
        <v>3</v>
      </c>
      <c r="T11">
        <v>3</v>
      </c>
      <c r="U11">
        <v>6</v>
      </c>
      <c r="V11">
        <v>12</v>
      </c>
      <c r="W11" s="45">
        <v>15.5</v>
      </c>
      <c r="X11" s="45">
        <v>17.3</v>
      </c>
      <c r="Y11" s="45">
        <v>34.4</v>
      </c>
      <c r="Z11" s="45">
        <v>67.2</v>
      </c>
      <c r="AA11">
        <v>4</v>
      </c>
      <c r="AB11">
        <v>6</v>
      </c>
      <c r="AC11">
        <v>17</v>
      </c>
      <c r="AD11">
        <v>27</v>
      </c>
      <c r="AE11" s="45">
        <v>109</v>
      </c>
      <c r="AF11" s="45">
        <v>137.5</v>
      </c>
      <c r="AG11" s="45">
        <v>481.7</v>
      </c>
      <c r="AH11" s="45">
        <v>728.2</v>
      </c>
      <c r="AI11">
        <v>3</v>
      </c>
      <c r="AJ11">
        <v>1</v>
      </c>
      <c r="AK11">
        <v>6</v>
      </c>
      <c r="AL11">
        <v>10</v>
      </c>
      <c r="AM11" s="45">
        <v>27.5</v>
      </c>
      <c r="AN11" s="45">
        <v>18.1</v>
      </c>
      <c r="AO11" s="45">
        <v>151.3</v>
      </c>
      <c r="AP11" s="45">
        <v>196.9</v>
      </c>
      <c r="AQ11">
        <v>2</v>
      </c>
      <c r="AR11">
        <v>3</v>
      </c>
      <c r="AS11">
        <v>13</v>
      </c>
      <c r="AT11">
        <v>18</v>
      </c>
      <c r="AU11" s="45">
        <v>25.2</v>
      </c>
      <c r="AV11" s="45">
        <v>51.6</v>
      </c>
      <c r="AW11" s="45">
        <v>563.9</v>
      </c>
      <c r="AX11" s="45">
        <v>640.7</v>
      </c>
      <c r="AY11">
        <v>1</v>
      </c>
      <c r="AZ11">
        <v>0</v>
      </c>
      <c r="BA11">
        <v>4</v>
      </c>
      <c r="BB11">
        <v>5</v>
      </c>
      <c r="BC11" s="45">
        <v>0.13</v>
      </c>
      <c r="BD11" s="45">
        <v>0</v>
      </c>
      <c r="BE11" s="45">
        <v>40.8</v>
      </c>
      <c r="BF11" s="45">
        <v>40.93</v>
      </c>
      <c r="BG11">
        <v>0</v>
      </c>
      <c r="BH11">
        <v>0</v>
      </c>
      <c r="BI11">
        <v>4</v>
      </c>
      <c r="BJ11">
        <v>4</v>
      </c>
      <c r="BK11" s="45">
        <v>0</v>
      </c>
      <c r="BL11" s="45">
        <v>0</v>
      </c>
      <c r="BM11" s="45">
        <v>576.6</v>
      </c>
      <c r="BN11" s="45">
        <v>576.6</v>
      </c>
      <c r="BO11">
        <v>252</v>
      </c>
      <c r="BP11">
        <v>230</v>
      </c>
      <c r="BQ11">
        <v>78</v>
      </c>
      <c r="BR11">
        <v>560</v>
      </c>
      <c r="BS11" s="45">
        <v>287.06</v>
      </c>
      <c r="BT11" s="45">
        <v>337.81</v>
      </c>
      <c r="BU11" s="45">
        <v>1884.59</v>
      </c>
      <c r="BV11" s="45">
        <v>2509.46</v>
      </c>
      <c r="BW11">
        <v>206</v>
      </c>
      <c r="BX11">
        <v>185</v>
      </c>
      <c r="BY11">
        <v>17</v>
      </c>
      <c r="BZ11">
        <v>408</v>
      </c>
      <c r="CA11" s="45">
        <v>53.13</v>
      </c>
      <c r="CB11" s="45">
        <v>54.01</v>
      </c>
      <c r="CC11" s="45">
        <v>5.26</v>
      </c>
      <c r="CD11" s="45">
        <v>112.4</v>
      </c>
      <c r="CE11">
        <v>24</v>
      </c>
      <c r="CF11">
        <v>21</v>
      </c>
      <c r="CG11">
        <v>9</v>
      </c>
      <c r="CH11">
        <v>54</v>
      </c>
      <c r="CI11" s="45">
        <v>47.6</v>
      </c>
      <c r="CJ11" s="45">
        <v>48.24</v>
      </c>
      <c r="CK11" s="45">
        <v>20.3</v>
      </c>
      <c r="CL11" s="45">
        <v>116.14</v>
      </c>
      <c r="CM11">
        <v>3</v>
      </c>
      <c r="CN11">
        <v>3</v>
      </c>
      <c r="CO11">
        <v>5</v>
      </c>
      <c r="CP11">
        <v>11</v>
      </c>
      <c r="CQ11" s="45">
        <v>15.5</v>
      </c>
      <c r="CR11" s="45">
        <v>14.7</v>
      </c>
      <c r="CS11" s="45">
        <v>25.7</v>
      </c>
      <c r="CT11" s="45">
        <v>55.9</v>
      </c>
      <c r="CU11">
        <v>4</v>
      </c>
      <c r="CV11">
        <v>6</v>
      </c>
      <c r="CW11">
        <v>16</v>
      </c>
      <c r="CX11">
        <v>26</v>
      </c>
      <c r="CY11" s="45">
        <v>105.44</v>
      </c>
      <c r="CZ11" s="45">
        <v>137.5</v>
      </c>
      <c r="DA11" s="45">
        <v>300.67</v>
      </c>
      <c r="DB11" s="45">
        <v>543.61</v>
      </c>
      <c r="DC11">
        <v>3</v>
      </c>
      <c r="DD11">
        <v>1</v>
      </c>
      <c r="DE11">
        <v>6</v>
      </c>
      <c r="DF11">
        <v>10</v>
      </c>
      <c r="DG11" s="45">
        <v>27.5</v>
      </c>
      <c r="DH11" s="45">
        <v>18.1</v>
      </c>
      <c r="DI11" s="45">
        <v>128.5</v>
      </c>
      <c r="DJ11" s="45">
        <v>174.1</v>
      </c>
      <c r="DK11">
        <v>2</v>
      </c>
      <c r="DL11">
        <v>3</v>
      </c>
      <c r="DM11">
        <v>13</v>
      </c>
      <c r="DN11">
        <v>18</v>
      </c>
      <c r="DO11" s="45">
        <v>25.2</v>
      </c>
      <c r="DP11" s="45">
        <v>51.6</v>
      </c>
      <c r="DQ11" s="45">
        <v>315.87</v>
      </c>
      <c r="DR11" s="45">
        <v>392.67</v>
      </c>
      <c r="DS11">
        <v>1</v>
      </c>
      <c r="DT11">
        <v>0</v>
      </c>
      <c r="DU11">
        <v>4</v>
      </c>
      <c r="DV11">
        <v>5</v>
      </c>
      <c r="DW11" s="45">
        <v>0.1</v>
      </c>
      <c r="DX11" s="45">
        <v>0</v>
      </c>
      <c r="DY11" s="45">
        <v>25.3</v>
      </c>
      <c r="DZ11" s="45">
        <v>25.4</v>
      </c>
      <c r="EA11">
        <v>0</v>
      </c>
      <c r="EB11">
        <v>0</v>
      </c>
      <c r="EC11">
        <v>4</v>
      </c>
      <c r="ED11">
        <v>4</v>
      </c>
      <c r="EE11">
        <v>0</v>
      </c>
      <c r="EF11" s="45">
        <v>0</v>
      </c>
      <c r="EG11" s="45">
        <v>209.2</v>
      </c>
      <c r="EH11" s="45">
        <v>209.2</v>
      </c>
      <c r="EI11">
        <v>243</v>
      </c>
      <c r="EJ11">
        <v>219</v>
      </c>
      <c r="EK11">
        <v>74</v>
      </c>
      <c r="EL11">
        <v>536</v>
      </c>
      <c r="EM11" s="45">
        <v>274.47</v>
      </c>
      <c r="EN11" s="45">
        <v>324.15</v>
      </c>
      <c r="EO11" s="45">
        <v>1030.8</v>
      </c>
      <c r="EP11">
        <v>1629.42</v>
      </c>
    </row>
    <row r="12" spans="1:146" ht="9">
      <c r="A12" s="50" t="s">
        <v>96</v>
      </c>
      <c r="B12" s="51">
        <v>158</v>
      </c>
      <c r="C12" s="51">
        <v>1777</v>
      </c>
      <c r="D12" s="51">
        <v>859</v>
      </c>
      <c r="E12" s="51">
        <v>120</v>
      </c>
      <c r="F12" s="51">
        <v>2756</v>
      </c>
      <c r="G12" s="52">
        <v>450.35</v>
      </c>
      <c r="H12" s="52">
        <v>229.55</v>
      </c>
      <c r="I12" s="52">
        <v>40.97</v>
      </c>
      <c r="J12" s="52">
        <v>720.87</v>
      </c>
      <c r="K12" s="51">
        <v>173</v>
      </c>
      <c r="L12" s="51">
        <v>135</v>
      </c>
      <c r="M12" s="51">
        <v>38</v>
      </c>
      <c r="N12" s="51">
        <v>346</v>
      </c>
      <c r="O12" s="52">
        <v>316</v>
      </c>
      <c r="P12" s="52">
        <v>269.45</v>
      </c>
      <c r="Q12" s="52">
        <v>88.1</v>
      </c>
      <c r="R12" s="52">
        <v>673.55</v>
      </c>
      <c r="S12" s="51">
        <v>34</v>
      </c>
      <c r="T12" s="51">
        <v>30</v>
      </c>
      <c r="U12" s="51">
        <v>49</v>
      </c>
      <c r="V12" s="51">
        <v>113</v>
      </c>
      <c r="W12" s="52">
        <v>195.3</v>
      </c>
      <c r="X12" s="52">
        <v>196.2</v>
      </c>
      <c r="Y12" s="52">
        <v>327.35</v>
      </c>
      <c r="Z12" s="52">
        <v>718.85</v>
      </c>
      <c r="AA12" s="51">
        <v>22</v>
      </c>
      <c r="AB12" s="51">
        <v>28</v>
      </c>
      <c r="AC12" s="51">
        <v>76</v>
      </c>
      <c r="AD12" s="51">
        <v>126</v>
      </c>
      <c r="AE12" s="52">
        <v>412.8</v>
      </c>
      <c r="AF12" s="52">
        <v>807.9</v>
      </c>
      <c r="AG12" s="52">
        <v>2745.5</v>
      </c>
      <c r="AH12" s="52">
        <v>3966.2</v>
      </c>
      <c r="AI12" s="51">
        <v>13</v>
      </c>
      <c r="AJ12" s="51">
        <v>8</v>
      </c>
      <c r="AK12" s="51">
        <v>39</v>
      </c>
      <c r="AL12" s="51">
        <v>60</v>
      </c>
      <c r="AM12" s="52">
        <v>208</v>
      </c>
      <c r="AN12" s="52">
        <v>139.9</v>
      </c>
      <c r="AO12" s="52">
        <v>970.1</v>
      </c>
      <c r="AP12" s="52">
        <v>1318</v>
      </c>
      <c r="AQ12" s="51">
        <v>6</v>
      </c>
      <c r="AR12" s="51">
        <v>4</v>
      </c>
      <c r="AS12" s="51">
        <v>30</v>
      </c>
      <c r="AT12" s="51">
        <v>40</v>
      </c>
      <c r="AU12" s="52">
        <v>118.3</v>
      </c>
      <c r="AV12" s="52">
        <v>58</v>
      </c>
      <c r="AW12" s="52">
        <v>1573.9</v>
      </c>
      <c r="AX12" s="52">
        <v>1750.2</v>
      </c>
      <c r="AY12" s="51">
        <v>9</v>
      </c>
      <c r="AZ12" s="51">
        <v>3</v>
      </c>
      <c r="BA12" s="51">
        <v>9</v>
      </c>
      <c r="BB12" s="51">
        <v>21</v>
      </c>
      <c r="BC12" s="52">
        <v>51.73</v>
      </c>
      <c r="BD12" s="52">
        <v>14.2</v>
      </c>
      <c r="BE12" s="52">
        <v>100</v>
      </c>
      <c r="BF12" s="52">
        <v>165.93</v>
      </c>
      <c r="BG12" s="51">
        <v>1</v>
      </c>
      <c r="BH12" s="51">
        <v>1</v>
      </c>
      <c r="BI12" s="51">
        <v>18</v>
      </c>
      <c r="BJ12" s="51">
        <v>20</v>
      </c>
      <c r="BK12" s="52">
        <v>74.8</v>
      </c>
      <c r="BL12" s="52">
        <v>289.2</v>
      </c>
      <c r="BM12" s="52">
        <v>3855.6</v>
      </c>
      <c r="BN12" s="52">
        <v>4219.6</v>
      </c>
      <c r="BO12" s="51">
        <v>2035</v>
      </c>
      <c r="BP12" s="51">
        <v>1068</v>
      </c>
      <c r="BQ12" s="51">
        <v>379</v>
      </c>
      <c r="BR12" s="51">
        <v>3482</v>
      </c>
      <c r="BS12" s="52">
        <v>1827.28</v>
      </c>
      <c r="BT12" s="52">
        <v>2004.4</v>
      </c>
      <c r="BU12" s="52">
        <v>9701.52</v>
      </c>
      <c r="BV12" s="52">
        <v>13533.2</v>
      </c>
      <c r="BW12" s="51">
        <v>1671</v>
      </c>
      <c r="BX12" s="51">
        <v>790</v>
      </c>
      <c r="BY12" s="51">
        <v>111</v>
      </c>
      <c r="BZ12" s="51">
        <v>2572</v>
      </c>
      <c r="CA12" s="52">
        <v>415.51</v>
      </c>
      <c r="CB12" s="52">
        <v>207.61</v>
      </c>
      <c r="CC12" s="52">
        <v>38</v>
      </c>
      <c r="CD12" s="52">
        <v>661.12</v>
      </c>
      <c r="CE12" s="51">
        <v>160</v>
      </c>
      <c r="CF12" s="51">
        <v>118</v>
      </c>
      <c r="CG12" s="51">
        <v>37</v>
      </c>
      <c r="CH12" s="51">
        <v>315</v>
      </c>
      <c r="CI12" s="52">
        <v>288.54</v>
      </c>
      <c r="CJ12" s="52">
        <v>222.81</v>
      </c>
      <c r="CK12" s="52">
        <v>79.34</v>
      </c>
      <c r="CL12" s="52">
        <v>590.69</v>
      </c>
      <c r="CM12" s="51">
        <v>33</v>
      </c>
      <c r="CN12" s="51">
        <v>27</v>
      </c>
      <c r="CO12" s="51">
        <v>46</v>
      </c>
      <c r="CP12" s="51">
        <v>106</v>
      </c>
      <c r="CQ12" s="52">
        <v>184.8</v>
      </c>
      <c r="CR12" s="52">
        <v>151.11</v>
      </c>
      <c r="CS12" s="52">
        <v>293.55</v>
      </c>
      <c r="CT12" s="52">
        <v>629.46</v>
      </c>
      <c r="CU12" s="51">
        <v>22</v>
      </c>
      <c r="CV12" s="51">
        <v>27</v>
      </c>
      <c r="CW12" s="51">
        <v>73</v>
      </c>
      <c r="CX12" s="51">
        <v>122</v>
      </c>
      <c r="CY12" s="52">
        <v>399.84</v>
      </c>
      <c r="CZ12" s="52">
        <v>578.67</v>
      </c>
      <c r="DA12" s="52">
        <v>1775.46</v>
      </c>
      <c r="DB12" s="52">
        <v>2753.97</v>
      </c>
      <c r="DC12" s="51">
        <v>12</v>
      </c>
      <c r="DD12" s="51">
        <v>8</v>
      </c>
      <c r="DE12" s="51">
        <v>37</v>
      </c>
      <c r="DF12" s="51">
        <v>57</v>
      </c>
      <c r="DG12" s="52">
        <v>201.4</v>
      </c>
      <c r="DH12" s="52">
        <v>112.1</v>
      </c>
      <c r="DI12" s="52">
        <v>662.2</v>
      </c>
      <c r="DJ12" s="52">
        <v>975.7</v>
      </c>
      <c r="DK12" s="51">
        <v>6</v>
      </c>
      <c r="DL12" s="51">
        <v>4</v>
      </c>
      <c r="DM12" s="51">
        <v>26</v>
      </c>
      <c r="DN12" s="51">
        <v>36</v>
      </c>
      <c r="DO12" s="52">
        <v>100.9</v>
      </c>
      <c r="DP12" s="52">
        <v>58</v>
      </c>
      <c r="DQ12" s="52">
        <v>609.45</v>
      </c>
      <c r="DR12" s="52">
        <v>768.35</v>
      </c>
      <c r="DS12" s="51">
        <v>8</v>
      </c>
      <c r="DT12" s="51">
        <v>4</v>
      </c>
      <c r="DU12" s="51">
        <v>7</v>
      </c>
      <c r="DV12" s="51">
        <v>19</v>
      </c>
      <c r="DW12" s="52">
        <v>12.5</v>
      </c>
      <c r="DX12" s="52">
        <v>16.5</v>
      </c>
      <c r="DY12" s="52">
        <v>61</v>
      </c>
      <c r="DZ12" s="52">
        <v>90</v>
      </c>
      <c r="EA12" s="51">
        <v>1</v>
      </c>
      <c r="EB12" s="51">
        <v>1</v>
      </c>
      <c r="EC12" s="51">
        <v>18</v>
      </c>
      <c r="ED12" s="51">
        <v>20</v>
      </c>
      <c r="EE12" s="51">
        <v>66</v>
      </c>
      <c r="EF12" s="52">
        <v>249.9</v>
      </c>
      <c r="EG12" s="52">
        <v>1509.6</v>
      </c>
      <c r="EH12" s="52">
        <v>1825.5</v>
      </c>
      <c r="EI12" s="51">
        <v>1913</v>
      </c>
      <c r="EJ12" s="51">
        <v>979</v>
      </c>
      <c r="EK12" s="51">
        <v>355</v>
      </c>
      <c r="EL12" s="51">
        <v>3247</v>
      </c>
      <c r="EM12" s="52">
        <v>1669.49</v>
      </c>
      <c r="EN12" s="52">
        <v>1596.7</v>
      </c>
      <c r="EO12" s="52">
        <v>5028.6</v>
      </c>
      <c r="EP12" s="51">
        <v>8294.79</v>
      </c>
    </row>
    <row r="13" spans="1:146" ht="9">
      <c r="A13" s="53" t="s">
        <v>32</v>
      </c>
      <c r="B13">
        <v>41</v>
      </c>
      <c r="C13">
        <v>257</v>
      </c>
      <c r="D13">
        <v>165</v>
      </c>
      <c r="E13">
        <v>19</v>
      </c>
      <c r="F13">
        <v>441</v>
      </c>
      <c r="G13" s="45">
        <v>72.33</v>
      </c>
      <c r="H13" s="45">
        <v>47.68</v>
      </c>
      <c r="I13" s="45">
        <v>3.68</v>
      </c>
      <c r="J13" s="45">
        <v>123.69</v>
      </c>
      <c r="K13">
        <v>39</v>
      </c>
      <c r="L13">
        <v>41</v>
      </c>
      <c r="M13">
        <v>7</v>
      </c>
      <c r="N13">
        <v>87</v>
      </c>
      <c r="O13" s="45">
        <v>86</v>
      </c>
      <c r="P13" s="45">
        <v>103.2</v>
      </c>
      <c r="Q13" s="45">
        <v>13.8</v>
      </c>
      <c r="R13" s="45">
        <v>203</v>
      </c>
      <c r="S13">
        <v>2</v>
      </c>
      <c r="T13">
        <v>9</v>
      </c>
      <c r="U13">
        <v>8</v>
      </c>
      <c r="V13">
        <v>19</v>
      </c>
      <c r="W13" s="45">
        <v>13.9</v>
      </c>
      <c r="X13" s="45">
        <v>55.6</v>
      </c>
      <c r="Y13" s="45">
        <v>42.9</v>
      </c>
      <c r="Z13" s="45">
        <v>112.4</v>
      </c>
      <c r="AA13">
        <v>3</v>
      </c>
      <c r="AB13">
        <v>3</v>
      </c>
      <c r="AC13">
        <v>13</v>
      </c>
      <c r="AD13">
        <v>19</v>
      </c>
      <c r="AE13" s="45">
        <v>126.4</v>
      </c>
      <c r="AF13" s="45">
        <v>57.9</v>
      </c>
      <c r="AG13" s="45">
        <v>235.5</v>
      </c>
      <c r="AH13" s="45">
        <v>419.8</v>
      </c>
      <c r="AI13">
        <v>4</v>
      </c>
      <c r="AJ13">
        <v>6</v>
      </c>
      <c r="AK13">
        <v>19</v>
      </c>
      <c r="AL13">
        <v>29</v>
      </c>
      <c r="AM13" s="45">
        <v>42.6</v>
      </c>
      <c r="AN13" s="45">
        <v>82</v>
      </c>
      <c r="AO13" s="45">
        <v>311.9</v>
      </c>
      <c r="AP13" s="45">
        <v>436.5</v>
      </c>
      <c r="AQ13">
        <v>1</v>
      </c>
      <c r="AR13">
        <v>1</v>
      </c>
      <c r="AS13">
        <v>3</v>
      </c>
      <c r="AT13">
        <v>5</v>
      </c>
      <c r="AU13" s="45">
        <v>4.8</v>
      </c>
      <c r="AV13" s="45">
        <v>16</v>
      </c>
      <c r="AW13" s="45">
        <v>53.7</v>
      </c>
      <c r="AX13" s="45">
        <v>74.5</v>
      </c>
      <c r="AY13">
        <v>1</v>
      </c>
      <c r="AZ13">
        <v>3</v>
      </c>
      <c r="BA13">
        <v>3</v>
      </c>
      <c r="BB13">
        <v>7</v>
      </c>
      <c r="BC13" s="45">
        <v>3.1</v>
      </c>
      <c r="BD13" s="45">
        <v>13.9</v>
      </c>
      <c r="BE13" s="45">
        <v>18</v>
      </c>
      <c r="BF13" s="45">
        <v>35</v>
      </c>
      <c r="BG13">
        <v>1</v>
      </c>
      <c r="BH13">
        <v>0</v>
      </c>
      <c r="BI13">
        <v>6</v>
      </c>
      <c r="BJ13">
        <v>7</v>
      </c>
      <c r="BK13" s="45">
        <v>63.8</v>
      </c>
      <c r="BL13" s="45">
        <v>0</v>
      </c>
      <c r="BM13" s="45">
        <v>678</v>
      </c>
      <c r="BN13" s="45">
        <v>741.8</v>
      </c>
      <c r="BO13">
        <v>308</v>
      </c>
      <c r="BP13">
        <v>228</v>
      </c>
      <c r="BQ13">
        <v>78</v>
      </c>
      <c r="BR13">
        <v>614</v>
      </c>
      <c r="BS13" s="45">
        <v>412.93</v>
      </c>
      <c r="BT13" s="45">
        <v>376.28</v>
      </c>
      <c r="BU13" s="45">
        <v>1357.48</v>
      </c>
      <c r="BV13" s="45">
        <v>2146.69</v>
      </c>
      <c r="BW13">
        <v>246</v>
      </c>
      <c r="BX13">
        <v>147</v>
      </c>
      <c r="BY13">
        <v>21</v>
      </c>
      <c r="BZ13">
        <v>414</v>
      </c>
      <c r="CA13" s="45">
        <v>68.35</v>
      </c>
      <c r="CB13" s="45">
        <v>42.71</v>
      </c>
      <c r="CC13" s="45">
        <v>4.12</v>
      </c>
      <c r="CD13" s="45">
        <v>115.18</v>
      </c>
      <c r="CE13">
        <v>38</v>
      </c>
      <c r="CF13">
        <v>34</v>
      </c>
      <c r="CG13">
        <v>7</v>
      </c>
      <c r="CH13">
        <v>79</v>
      </c>
      <c r="CI13" s="45">
        <v>89</v>
      </c>
      <c r="CJ13" s="45">
        <v>79.5</v>
      </c>
      <c r="CK13" s="45">
        <v>9.5</v>
      </c>
      <c r="CL13" s="45">
        <v>178</v>
      </c>
      <c r="CM13">
        <v>2</v>
      </c>
      <c r="CN13">
        <v>8</v>
      </c>
      <c r="CO13">
        <v>8</v>
      </c>
      <c r="CP13">
        <v>18</v>
      </c>
      <c r="CQ13" s="45">
        <v>13.9</v>
      </c>
      <c r="CR13" s="45">
        <v>45.9</v>
      </c>
      <c r="CS13" s="45">
        <v>42.4</v>
      </c>
      <c r="CT13" s="45">
        <v>102.2</v>
      </c>
      <c r="CU13">
        <v>3</v>
      </c>
      <c r="CV13">
        <v>2</v>
      </c>
      <c r="CW13">
        <v>11</v>
      </c>
      <c r="CX13">
        <v>16</v>
      </c>
      <c r="CY13" s="45">
        <v>103.6</v>
      </c>
      <c r="CZ13" s="45">
        <v>55</v>
      </c>
      <c r="DA13" s="45">
        <v>169.4</v>
      </c>
      <c r="DB13" s="45">
        <v>328</v>
      </c>
      <c r="DC13">
        <v>4</v>
      </c>
      <c r="DD13">
        <v>6</v>
      </c>
      <c r="DE13">
        <v>17</v>
      </c>
      <c r="DF13">
        <v>27</v>
      </c>
      <c r="DG13" s="45">
        <v>39</v>
      </c>
      <c r="DH13" s="45">
        <v>76</v>
      </c>
      <c r="DI13" s="45">
        <v>228.9</v>
      </c>
      <c r="DJ13" s="45">
        <v>343.9</v>
      </c>
      <c r="DK13">
        <v>1</v>
      </c>
      <c r="DL13">
        <v>1</v>
      </c>
      <c r="DM13">
        <v>3</v>
      </c>
      <c r="DN13">
        <v>5</v>
      </c>
      <c r="DO13" s="45">
        <v>4.8</v>
      </c>
      <c r="DP13" s="45">
        <v>16</v>
      </c>
      <c r="DQ13" s="45">
        <v>51.2</v>
      </c>
      <c r="DR13" s="45">
        <v>72</v>
      </c>
      <c r="DS13">
        <v>1</v>
      </c>
      <c r="DT13">
        <v>2</v>
      </c>
      <c r="DU13">
        <v>3</v>
      </c>
      <c r="DV13">
        <v>6</v>
      </c>
      <c r="DW13" s="45">
        <v>3.1</v>
      </c>
      <c r="DX13" s="45">
        <v>4.7</v>
      </c>
      <c r="DY13" s="45">
        <v>9.3</v>
      </c>
      <c r="DZ13" s="45">
        <v>17.1</v>
      </c>
      <c r="EA13">
        <v>1</v>
      </c>
      <c r="EB13">
        <v>0</v>
      </c>
      <c r="EC13">
        <v>6</v>
      </c>
      <c r="ED13">
        <v>7</v>
      </c>
      <c r="EE13">
        <v>58</v>
      </c>
      <c r="EF13" s="45">
        <v>0</v>
      </c>
      <c r="EG13" s="45">
        <v>366</v>
      </c>
      <c r="EH13" s="45">
        <v>424</v>
      </c>
      <c r="EI13">
        <v>296</v>
      </c>
      <c r="EJ13">
        <v>200</v>
      </c>
      <c r="EK13">
        <v>76</v>
      </c>
      <c r="EL13">
        <v>572</v>
      </c>
      <c r="EM13" s="45">
        <v>379.75</v>
      </c>
      <c r="EN13" s="45">
        <v>319.81</v>
      </c>
      <c r="EO13" s="45">
        <v>880.82</v>
      </c>
      <c r="EP13">
        <v>1580.38</v>
      </c>
    </row>
    <row r="14" spans="1:146" ht="9">
      <c r="A14" s="53" t="s">
        <v>33</v>
      </c>
      <c r="B14">
        <v>24</v>
      </c>
      <c r="C14">
        <v>348</v>
      </c>
      <c r="D14">
        <v>234</v>
      </c>
      <c r="E14">
        <v>26</v>
      </c>
      <c r="F14">
        <v>608</v>
      </c>
      <c r="G14" s="45">
        <v>80.94</v>
      </c>
      <c r="H14" s="45">
        <v>61.56</v>
      </c>
      <c r="I14" s="45">
        <v>6.69</v>
      </c>
      <c r="J14" s="45">
        <v>149.19</v>
      </c>
      <c r="K14">
        <v>50</v>
      </c>
      <c r="L14">
        <v>36</v>
      </c>
      <c r="M14">
        <v>8</v>
      </c>
      <c r="N14">
        <v>94</v>
      </c>
      <c r="O14" s="45">
        <v>72.4</v>
      </c>
      <c r="P14" s="45">
        <v>63.2</v>
      </c>
      <c r="Q14" s="45">
        <v>14</v>
      </c>
      <c r="R14" s="45">
        <v>149.6</v>
      </c>
      <c r="S14">
        <v>15</v>
      </c>
      <c r="T14">
        <v>14</v>
      </c>
      <c r="U14">
        <v>11</v>
      </c>
      <c r="V14">
        <v>40</v>
      </c>
      <c r="W14" s="45">
        <v>70.3</v>
      </c>
      <c r="X14" s="45">
        <v>67.1</v>
      </c>
      <c r="Y14" s="45">
        <v>55.8</v>
      </c>
      <c r="Z14" s="45">
        <v>193.2</v>
      </c>
      <c r="AA14">
        <v>2</v>
      </c>
      <c r="AB14">
        <v>2</v>
      </c>
      <c r="AC14">
        <v>17</v>
      </c>
      <c r="AD14">
        <v>21</v>
      </c>
      <c r="AE14" s="45">
        <v>31.8</v>
      </c>
      <c r="AF14" s="45">
        <v>29.5</v>
      </c>
      <c r="AG14" s="45">
        <v>290.8</v>
      </c>
      <c r="AH14" s="45">
        <v>352.1</v>
      </c>
      <c r="AI14">
        <v>4</v>
      </c>
      <c r="AJ14">
        <v>2</v>
      </c>
      <c r="AK14">
        <v>15</v>
      </c>
      <c r="AL14">
        <v>21</v>
      </c>
      <c r="AM14" s="45">
        <v>93</v>
      </c>
      <c r="AN14" s="45">
        <v>30.1</v>
      </c>
      <c r="AO14" s="45">
        <v>284.6</v>
      </c>
      <c r="AP14" s="45">
        <v>407.7</v>
      </c>
      <c r="AQ14">
        <v>0</v>
      </c>
      <c r="AR14">
        <v>3</v>
      </c>
      <c r="AS14">
        <v>1</v>
      </c>
      <c r="AT14">
        <v>4</v>
      </c>
      <c r="AU14" s="45">
        <v>0.8</v>
      </c>
      <c r="AV14" s="45">
        <v>19.8</v>
      </c>
      <c r="AW14" s="45">
        <v>8.2</v>
      </c>
      <c r="AX14" s="45">
        <v>28.8</v>
      </c>
      <c r="AY14">
        <v>0</v>
      </c>
      <c r="AZ14">
        <v>1</v>
      </c>
      <c r="BA14">
        <v>0</v>
      </c>
      <c r="BB14">
        <v>1</v>
      </c>
      <c r="BC14" s="45">
        <v>0</v>
      </c>
      <c r="BD14" s="45">
        <v>4</v>
      </c>
      <c r="BE14" s="45">
        <v>0</v>
      </c>
      <c r="BF14" s="45">
        <v>4</v>
      </c>
      <c r="BG14">
        <v>0</v>
      </c>
      <c r="BH14">
        <v>0</v>
      </c>
      <c r="BI14">
        <v>4</v>
      </c>
      <c r="BJ14">
        <v>4</v>
      </c>
      <c r="BK14" s="45">
        <v>0</v>
      </c>
      <c r="BL14" s="45">
        <v>0</v>
      </c>
      <c r="BM14" s="45">
        <v>381.1</v>
      </c>
      <c r="BN14" s="45">
        <v>381.1</v>
      </c>
      <c r="BO14">
        <v>419</v>
      </c>
      <c r="BP14">
        <v>292</v>
      </c>
      <c r="BQ14">
        <v>82</v>
      </c>
      <c r="BR14">
        <v>793</v>
      </c>
      <c r="BS14" s="45">
        <v>349.24</v>
      </c>
      <c r="BT14" s="45">
        <v>275.26</v>
      </c>
      <c r="BU14" s="45">
        <v>1041.19</v>
      </c>
      <c r="BV14" s="45">
        <v>1665.69</v>
      </c>
      <c r="BW14">
        <v>337</v>
      </c>
      <c r="BX14">
        <v>222</v>
      </c>
      <c r="BY14">
        <v>26</v>
      </c>
      <c r="BZ14">
        <v>585</v>
      </c>
      <c r="CA14" s="45">
        <v>77</v>
      </c>
      <c r="CB14" s="45">
        <v>58.4</v>
      </c>
      <c r="CC14" s="45">
        <v>6.62</v>
      </c>
      <c r="CD14" s="45">
        <v>142.02</v>
      </c>
      <c r="CE14">
        <v>46</v>
      </c>
      <c r="CF14">
        <v>35</v>
      </c>
      <c r="CG14">
        <v>8</v>
      </c>
      <c r="CH14">
        <v>89</v>
      </c>
      <c r="CI14" s="45">
        <v>66</v>
      </c>
      <c r="CJ14" s="45">
        <v>62.2</v>
      </c>
      <c r="CK14" s="45">
        <v>14</v>
      </c>
      <c r="CL14" s="45">
        <v>142.2</v>
      </c>
      <c r="CM14">
        <v>15</v>
      </c>
      <c r="CN14">
        <v>14</v>
      </c>
      <c r="CO14">
        <v>11</v>
      </c>
      <c r="CP14">
        <v>40</v>
      </c>
      <c r="CQ14" s="45">
        <v>69</v>
      </c>
      <c r="CR14" s="45">
        <v>67.1</v>
      </c>
      <c r="CS14" s="45">
        <v>53</v>
      </c>
      <c r="CT14" s="45">
        <v>189.1</v>
      </c>
      <c r="CU14">
        <v>2</v>
      </c>
      <c r="CV14">
        <v>2</v>
      </c>
      <c r="CW14">
        <v>17</v>
      </c>
      <c r="CX14">
        <v>21</v>
      </c>
      <c r="CY14" s="45">
        <v>22.3</v>
      </c>
      <c r="CZ14" s="45">
        <v>27.7</v>
      </c>
      <c r="DA14" s="45">
        <v>249</v>
      </c>
      <c r="DB14" s="45">
        <v>299</v>
      </c>
      <c r="DC14">
        <v>4</v>
      </c>
      <c r="DD14">
        <v>2</v>
      </c>
      <c r="DE14">
        <v>15</v>
      </c>
      <c r="DF14">
        <v>21</v>
      </c>
      <c r="DG14" s="45">
        <v>88.8</v>
      </c>
      <c r="DH14" s="45">
        <v>30.1</v>
      </c>
      <c r="DI14" s="45">
        <v>245.9</v>
      </c>
      <c r="DJ14" s="45">
        <v>364.8</v>
      </c>
      <c r="DK14">
        <v>0</v>
      </c>
      <c r="DL14">
        <v>3</v>
      </c>
      <c r="DM14">
        <v>1</v>
      </c>
      <c r="DN14">
        <v>4</v>
      </c>
      <c r="DO14" s="45">
        <v>0</v>
      </c>
      <c r="DP14" s="45">
        <v>19.7</v>
      </c>
      <c r="DQ14" s="45">
        <v>4.1</v>
      </c>
      <c r="DR14" s="45">
        <v>23.8</v>
      </c>
      <c r="DS14">
        <v>0</v>
      </c>
      <c r="DT14">
        <v>1</v>
      </c>
      <c r="DU14">
        <v>0</v>
      </c>
      <c r="DV14">
        <v>1</v>
      </c>
      <c r="DW14" s="45">
        <v>0</v>
      </c>
      <c r="DX14" s="45">
        <v>3.9</v>
      </c>
      <c r="DY14" s="45">
        <v>0</v>
      </c>
      <c r="DZ14" s="45">
        <v>3.9</v>
      </c>
      <c r="EA14">
        <v>0</v>
      </c>
      <c r="EB14">
        <v>0</v>
      </c>
      <c r="EC14">
        <v>4</v>
      </c>
      <c r="ED14">
        <v>4</v>
      </c>
      <c r="EE14">
        <v>0</v>
      </c>
      <c r="EF14" s="45">
        <v>0</v>
      </c>
      <c r="EG14" s="45">
        <v>374.4</v>
      </c>
      <c r="EH14" s="45">
        <v>374.4</v>
      </c>
      <c r="EI14">
        <v>404</v>
      </c>
      <c r="EJ14">
        <v>279</v>
      </c>
      <c r="EK14">
        <v>82</v>
      </c>
      <c r="EL14">
        <v>765</v>
      </c>
      <c r="EM14" s="45">
        <v>323.1</v>
      </c>
      <c r="EN14" s="45">
        <v>269.1</v>
      </c>
      <c r="EO14" s="45">
        <v>947.02</v>
      </c>
      <c r="EP14">
        <v>1539.22</v>
      </c>
    </row>
    <row r="15" spans="1:146" ht="9">
      <c r="A15" s="53" t="s">
        <v>34</v>
      </c>
      <c r="B15">
        <v>23</v>
      </c>
      <c r="C15">
        <v>368</v>
      </c>
      <c r="D15">
        <v>145</v>
      </c>
      <c r="E15">
        <v>21</v>
      </c>
      <c r="F15">
        <v>534</v>
      </c>
      <c r="G15" s="45">
        <v>92.86</v>
      </c>
      <c r="H15" s="45">
        <v>40.44</v>
      </c>
      <c r="I15" s="45">
        <v>5.48</v>
      </c>
      <c r="J15" s="45">
        <v>138.78</v>
      </c>
      <c r="K15">
        <v>54</v>
      </c>
      <c r="L15">
        <v>39</v>
      </c>
      <c r="M15">
        <v>9</v>
      </c>
      <c r="N15">
        <v>102</v>
      </c>
      <c r="O15" s="45">
        <v>83.8</v>
      </c>
      <c r="P15" s="45">
        <v>77.8</v>
      </c>
      <c r="Q15" s="45">
        <v>16.6</v>
      </c>
      <c r="R15" s="45">
        <v>178.2</v>
      </c>
      <c r="S15">
        <v>3</v>
      </c>
      <c r="T15">
        <v>3</v>
      </c>
      <c r="U15">
        <v>12</v>
      </c>
      <c r="V15">
        <v>18</v>
      </c>
      <c r="W15" s="45">
        <v>13.3</v>
      </c>
      <c r="X15" s="45">
        <v>26.7</v>
      </c>
      <c r="Y15" s="45">
        <v>59</v>
      </c>
      <c r="Z15" s="45">
        <v>99</v>
      </c>
      <c r="AA15">
        <v>4</v>
      </c>
      <c r="AB15">
        <v>2</v>
      </c>
      <c r="AC15">
        <v>19</v>
      </c>
      <c r="AD15">
        <v>25</v>
      </c>
      <c r="AE15" s="45">
        <v>76.4</v>
      </c>
      <c r="AF15" s="45">
        <v>119.1</v>
      </c>
      <c r="AG15" s="45">
        <v>767.8</v>
      </c>
      <c r="AH15" s="45">
        <v>963.3</v>
      </c>
      <c r="AI15">
        <v>2</v>
      </c>
      <c r="AJ15">
        <v>0</v>
      </c>
      <c r="AK15">
        <v>8</v>
      </c>
      <c r="AL15">
        <v>10</v>
      </c>
      <c r="AM15" s="45">
        <v>53.6</v>
      </c>
      <c r="AN15" s="45">
        <v>0</v>
      </c>
      <c r="AO15" s="45">
        <v>204.4</v>
      </c>
      <c r="AP15" s="45">
        <v>258</v>
      </c>
      <c r="AQ15">
        <v>0</v>
      </c>
      <c r="AR15">
        <v>1</v>
      </c>
      <c r="AS15">
        <v>6</v>
      </c>
      <c r="AT15">
        <v>7</v>
      </c>
      <c r="AU15" s="45">
        <v>0</v>
      </c>
      <c r="AV15" s="45">
        <v>11.9</v>
      </c>
      <c r="AW15" s="45">
        <v>674.8</v>
      </c>
      <c r="AX15" s="45">
        <v>686.7</v>
      </c>
      <c r="AY15">
        <v>0</v>
      </c>
      <c r="AZ15">
        <v>0</v>
      </c>
      <c r="BA15">
        <v>3</v>
      </c>
      <c r="BB15">
        <v>3</v>
      </c>
      <c r="BC15" s="45">
        <v>0</v>
      </c>
      <c r="BD15" s="45">
        <v>0</v>
      </c>
      <c r="BE15" s="45">
        <v>41</v>
      </c>
      <c r="BF15" s="45">
        <v>41</v>
      </c>
      <c r="BG15">
        <v>0</v>
      </c>
      <c r="BH15">
        <v>0</v>
      </c>
      <c r="BI15">
        <v>1</v>
      </c>
      <c r="BJ15">
        <v>1</v>
      </c>
      <c r="BK15" s="45">
        <v>0</v>
      </c>
      <c r="BL15" s="45">
        <v>0</v>
      </c>
      <c r="BM15" s="45">
        <v>60.3</v>
      </c>
      <c r="BN15" s="45">
        <v>60.3</v>
      </c>
      <c r="BO15">
        <v>431</v>
      </c>
      <c r="BP15">
        <v>190</v>
      </c>
      <c r="BQ15">
        <v>79</v>
      </c>
      <c r="BR15">
        <v>700</v>
      </c>
      <c r="BS15" s="45">
        <v>319.96</v>
      </c>
      <c r="BT15" s="45">
        <v>275.94</v>
      </c>
      <c r="BU15" s="45">
        <v>1829.38</v>
      </c>
      <c r="BV15" s="45">
        <v>2425.28</v>
      </c>
      <c r="BW15">
        <v>351</v>
      </c>
      <c r="BX15">
        <v>131</v>
      </c>
      <c r="BY15">
        <v>20</v>
      </c>
      <c r="BZ15">
        <v>502</v>
      </c>
      <c r="CA15" s="45">
        <v>89.72</v>
      </c>
      <c r="CB15" s="45">
        <v>36.42</v>
      </c>
      <c r="CC15" s="45">
        <v>5.33</v>
      </c>
      <c r="CD15" s="45">
        <v>131.47</v>
      </c>
      <c r="CE15">
        <v>47</v>
      </c>
      <c r="CF15">
        <v>32</v>
      </c>
      <c r="CG15">
        <v>8</v>
      </c>
      <c r="CH15">
        <v>87</v>
      </c>
      <c r="CI15" s="45">
        <v>72.8</v>
      </c>
      <c r="CJ15" s="45">
        <v>68.3</v>
      </c>
      <c r="CK15" s="45">
        <v>13.2</v>
      </c>
      <c r="CL15" s="45">
        <v>154.3</v>
      </c>
      <c r="CM15">
        <v>3</v>
      </c>
      <c r="CN15">
        <v>3</v>
      </c>
      <c r="CO15">
        <v>10</v>
      </c>
      <c r="CP15">
        <v>16</v>
      </c>
      <c r="CQ15" s="45">
        <v>13.3</v>
      </c>
      <c r="CR15" s="45">
        <v>12.3</v>
      </c>
      <c r="CS15" s="45">
        <v>44.1</v>
      </c>
      <c r="CT15" s="45">
        <v>69.7</v>
      </c>
      <c r="CU15">
        <v>4</v>
      </c>
      <c r="CV15">
        <v>2</v>
      </c>
      <c r="CW15">
        <v>19</v>
      </c>
      <c r="CX15">
        <v>25</v>
      </c>
      <c r="CY15" s="45">
        <v>75.4</v>
      </c>
      <c r="CZ15" s="45">
        <v>51.4</v>
      </c>
      <c r="DA15" s="45">
        <v>392</v>
      </c>
      <c r="DB15" s="45">
        <v>518.8</v>
      </c>
      <c r="DC15">
        <v>2</v>
      </c>
      <c r="DD15">
        <v>0</v>
      </c>
      <c r="DE15">
        <v>8</v>
      </c>
      <c r="DF15">
        <v>10</v>
      </c>
      <c r="DG15" s="45">
        <v>53.1</v>
      </c>
      <c r="DH15" s="45">
        <v>0</v>
      </c>
      <c r="DI15" s="45">
        <v>155.7</v>
      </c>
      <c r="DJ15" s="45">
        <v>208.8</v>
      </c>
      <c r="DK15">
        <v>0</v>
      </c>
      <c r="DL15">
        <v>1</v>
      </c>
      <c r="DM15">
        <v>6</v>
      </c>
      <c r="DN15">
        <v>7</v>
      </c>
      <c r="DO15" s="45">
        <v>0</v>
      </c>
      <c r="DP15" s="45">
        <v>6</v>
      </c>
      <c r="DQ15" s="45">
        <v>523</v>
      </c>
      <c r="DR15" s="45">
        <v>529</v>
      </c>
      <c r="DS15">
        <v>0</v>
      </c>
      <c r="DT15">
        <v>0</v>
      </c>
      <c r="DU15">
        <v>2</v>
      </c>
      <c r="DV15">
        <v>2</v>
      </c>
      <c r="DW15" s="45">
        <v>0</v>
      </c>
      <c r="DX15" s="45">
        <v>0</v>
      </c>
      <c r="DY15" s="45">
        <v>15.7</v>
      </c>
      <c r="DZ15" s="45">
        <v>15.7</v>
      </c>
      <c r="EA15">
        <v>0</v>
      </c>
      <c r="EB15">
        <v>0</v>
      </c>
      <c r="EC15">
        <v>1</v>
      </c>
      <c r="ED15">
        <v>1</v>
      </c>
      <c r="EE15">
        <v>0</v>
      </c>
      <c r="EF15" s="45">
        <v>0</v>
      </c>
      <c r="EG15" s="45">
        <v>60.3</v>
      </c>
      <c r="EH15" s="45">
        <v>60.3</v>
      </c>
      <c r="EI15">
        <v>407</v>
      </c>
      <c r="EJ15">
        <v>169</v>
      </c>
      <c r="EK15">
        <v>74</v>
      </c>
      <c r="EL15">
        <v>650</v>
      </c>
      <c r="EM15" s="45">
        <v>304.32</v>
      </c>
      <c r="EN15" s="45">
        <v>174.42</v>
      </c>
      <c r="EO15" s="45">
        <v>1209.33</v>
      </c>
      <c r="EP15">
        <v>1688.07</v>
      </c>
    </row>
    <row r="16" spans="1:146" ht="9">
      <c r="A16" s="53" t="s">
        <v>35</v>
      </c>
      <c r="B16">
        <v>56</v>
      </c>
      <c r="C16">
        <v>1155</v>
      </c>
      <c r="D16">
        <v>101</v>
      </c>
      <c r="E16">
        <v>41</v>
      </c>
      <c r="F16">
        <v>1297</v>
      </c>
      <c r="G16" s="45">
        <v>284.39</v>
      </c>
      <c r="H16" s="45">
        <v>26.03</v>
      </c>
      <c r="I16" s="45">
        <v>11.69</v>
      </c>
      <c r="J16" s="45">
        <v>322.11</v>
      </c>
      <c r="K16">
        <v>119</v>
      </c>
      <c r="L16">
        <v>24</v>
      </c>
      <c r="M16">
        <v>22</v>
      </c>
      <c r="N16">
        <v>165</v>
      </c>
      <c r="O16" s="45">
        <v>211.9</v>
      </c>
      <c r="P16" s="45">
        <v>43.3</v>
      </c>
      <c r="Q16" s="45">
        <v>50.34</v>
      </c>
      <c r="R16" s="45">
        <v>305.54</v>
      </c>
      <c r="S16">
        <v>9</v>
      </c>
      <c r="T16">
        <v>2</v>
      </c>
      <c r="U16">
        <v>20</v>
      </c>
      <c r="V16">
        <v>31</v>
      </c>
      <c r="W16" s="45">
        <v>47.7</v>
      </c>
      <c r="X16" s="45">
        <v>12.1</v>
      </c>
      <c r="Y16" s="45">
        <v>101.6</v>
      </c>
      <c r="Z16" s="45">
        <v>161.4</v>
      </c>
      <c r="AA16">
        <v>9</v>
      </c>
      <c r="AB16">
        <v>2</v>
      </c>
      <c r="AC16">
        <v>45</v>
      </c>
      <c r="AD16">
        <v>56</v>
      </c>
      <c r="AE16" s="45">
        <v>169.7</v>
      </c>
      <c r="AF16" s="45">
        <v>50.2</v>
      </c>
      <c r="AG16" s="45">
        <v>934.6</v>
      </c>
      <c r="AH16" s="45">
        <v>1154.5</v>
      </c>
      <c r="AI16">
        <v>5</v>
      </c>
      <c r="AJ16">
        <v>2</v>
      </c>
      <c r="AK16">
        <v>7</v>
      </c>
      <c r="AL16">
        <v>14</v>
      </c>
      <c r="AM16" s="45">
        <v>63.7</v>
      </c>
      <c r="AN16" s="45">
        <v>39.5</v>
      </c>
      <c r="AO16" s="45">
        <v>132.5</v>
      </c>
      <c r="AP16" s="45">
        <v>235.7</v>
      </c>
      <c r="AQ16">
        <v>0</v>
      </c>
      <c r="AR16">
        <v>0</v>
      </c>
      <c r="AS16">
        <v>1</v>
      </c>
      <c r="AT16">
        <v>1</v>
      </c>
      <c r="AU16" s="45">
        <v>0</v>
      </c>
      <c r="AV16" s="45">
        <v>0</v>
      </c>
      <c r="AW16" s="45">
        <v>9.2</v>
      </c>
      <c r="AX16" s="45">
        <v>9.2</v>
      </c>
      <c r="AY16">
        <v>3</v>
      </c>
      <c r="AZ16">
        <v>1</v>
      </c>
      <c r="BA16">
        <v>2</v>
      </c>
      <c r="BB16">
        <v>6</v>
      </c>
      <c r="BC16" s="45">
        <v>4.8</v>
      </c>
      <c r="BD16" s="45">
        <v>1.1</v>
      </c>
      <c r="BE16" s="45">
        <v>3.6</v>
      </c>
      <c r="BF16" s="45">
        <v>9.5</v>
      </c>
      <c r="BG16">
        <v>2</v>
      </c>
      <c r="BH16">
        <v>1</v>
      </c>
      <c r="BI16">
        <v>12</v>
      </c>
      <c r="BJ16">
        <v>15</v>
      </c>
      <c r="BK16" s="45">
        <v>123.5</v>
      </c>
      <c r="BL16" s="45">
        <v>80</v>
      </c>
      <c r="BM16" s="45">
        <v>756.3</v>
      </c>
      <c r="BN16" s="45">
        <v>959.8</v>
      </c>
      <c r="BO16">
        <v>1302</v>
      </c>
      <c r="BP16">
        <v>133</v>
      </c>
      <c r="BQ16">
        <v>150</v>
      </c>
      <c r="BR16">
        <v>1585</v>
      </c>
      <c r="BS16" s="45">
        <v>905.69</v>
      </c>
      <c r="BT16" s="45">
        <v>252.23</v>
      </c>
      <c r="BU16" s="45">
        <v>1999.83</v>
      </c>
      <c r="BV16" s="45">
        <v>3157.75</v>
      </c>
      <c r="BW16">
        <v>1125</v>
      </c>
      <c r="BX16">
        <v>98</v>
      </c>
      <c r="BY16">
        <v>40</v>
      </c>
      <c r="BZ16">
        <v>1263</v>
      </c>
      <c r="CA16" s="45">
        <v>278.45</v>
      </c>
      <c r="CB16" s="45">
        <v>25.17</v>
      </c>
      <c r="CC16" s="45">
        <v>11.05</v>
      </c>
      <c r="CD16" s="45">
        <v>314.67</v>
      </c>
      <c r="CE16">
        <v>115</v>
      </c>
      <c r="CF16">
        <v>23</v>
      </c>
      <c r="CG16">
        <v>20</v>
      </c>
      <c r="CH16">
        <v>158</v>
      </c>
      <c r="CI16" s="45">
        <v>206.1</v>
      </c>
      <c r="CJ16" s="45">
        <v>42.4</v>
      </c>
      <c r="CK16" s="45">
        <v>36.54</v>
      </c>
      <c r="CL16" s="45">
        <v>285.04</v>
      </c>
      <c r="CM16">
        <v>8</v>
      </c>
      <c r="CN16">
        <v>2</v>
      </c>
      <c r="CO16">
        <v>20</v>
      </c>
      <c r="CP16">
        <v>30</v>
      </c>
      <c r="CQ16" s="45">
        <v>45.6</v>
      </c>
      <c r="CR16" s="45">
        <v>12.1</v>
      </c>
      <c r="CS16" s="45">
        <v>92.7</v>
      </c>
      <c r="CT16" s="45">
        <v>150.4</v>
      </c>
      <c r="CU16">
        <v>8</v>
      </c>
      <c r="CV16">
        <v>2</v>
      </c>
      <c r="CW16">
        <v>44</v>
      </c>
      <c r="CX16">
        <v>54</v>
      </c>
      <c r="CY16" s="45">
        <v>117.74</v>
      </c>
      <c r="CZ16" s="45">
        <v>50.2</v>
      </c>
      <c r="DA16" s="45">
        <v>647.7</v>
      </c>
      <c r="DB16" s="45">
        <v>815.64</v>
      </c>
      <c r="DC16">
        <v>5</v>
      </c>
      <c r="DD16">
        <v>1</v>
      </c>
      <c r="DE16">
        <v>7</v>
      </c>
      <c r="DF16">
        <v>13</v>
      </c>
      <c r="DG16" s="45">
        <v>61.73</v>
      </c>
      <c r="DH16" s="45">
        <v>29.5</v>
      </c>
      <c r="DI16" s="45">
        <v>120.2</v>
      </c>
      <c r="DJ16" s="45">
        <v>211.43</v>
      </c>
      <c r="DK16">
        <v>0</v>
      </c>
      <c r="DL16">
        <v>0</v>
      </c>
      <c r="DM16">
        <v>1</v>
      </c>
      <c r="DN16">
        <v>1</v>
      </c>
      <c r="DO16" s="45">
        <v>0</v>
      </c>
      <c r="DP16" s="45">
        <v>0</v>
      </c>
      <c r="DQ16" s="45">
        <v>8.7</v>
      </c>
      <c r="DR16" s="45">
        <v>8.7</v>
      </c>
      <c r="DS16">
        <v>3</v>
      </c>
      <c r="DT16">
        <v>1</v>
      </c>
      <c r="DU16">
        <v>2</v>
      </c>
      <c r="DV16">
        <v>6</v>
      </c>
      <c r="DW16" s="45">
        <v>4.8</v>
      </c>
      <c r="DX16" s="45">
        <v>1</v>
      </c>
      <c r="DY16" s="45">
        <v>3.6</v>
      </c>
      <c r="DZ16" s="45">
        <v>9.4</v>
      </c>
      <c r="EA16">
        <v>2</v>
      </c>
      <c r="EB16">
        <v>1</v>
      </c>
      <c r="EC16">
        <v>12</v>
      </c>
      <c r="ED16">
        <v>15</v>
      </c>
      <c r="EE16">
        <v>118</v>
      </c>
      <c r="EF16" s="45">
        <v>46.1</v>
      </c>
      <c r="EG16" s="45">
        <v>515.4</v>
      </c>
      <c r="EH16" s="45">
        <v>679.5</v>
      </c>
      <c r="EI16">
        <v>1266</v>
      </c>
      <c r="EJ16">
        <v>128</v>
      </c>
      <c r="EK16">
        <v>146</v>
      </c>
      <c r="EL16">
        <v>1540</v>
      </c>
      <c r="EM16" s="45">
        <v>832.42</v>
      </c>
      <c r="EN16" s="45">
        <v>206.47</v>
      </c>
      <c r="EO16" s="45">
        <v>1435.89</v>
      </c>
      <c r="EP16">
        <v>2474.78</v>
      </c>
    </row>
    <row r="17" spans="1:146" ht="9">
      <c r="A17" s="53" t="s">
        <v>36</v>
      </c>
      <c r="B17">
        <v>38</v>
      </c>
      <c r="C17">
        <v>1458</v>
      </c>
      <c r="D17">
        <v>257</v>
      </c>
      <c r="E17">
        <v>38</v>
      </c>
      <c r="F17">
        <v>1753</v>
      </c>
      <c r="G17" s="45">
        <v>337.19</v>
      </c>
      <c r="H17" s="45">
        <v>67.37</v>
      </c>
      <c r="I17" s="45">
        <v>8.89</v>
      </c>
      <c r="J17" s="45">
        <v>413.45</v>
      </c>
      <c r="K17">
        <v>173</v>
      </c>
      <c r="L17">
        <v>59</v>
      </c>
      <c r="M17">
        <v>10</v>
      </c>
      <c r="N17">
        <v>242</v>
      </c>
      <c r="O17" s="45">
        <v>322.2</v>
      </c>
      <c r="P17" s="45">
        <v>115.6</v>
      </c>
      <c r="Q17" s="45">
        <v>23.5</v>
      </c>
      <c r="R17" s="45">
        <v>461.3</v>
      </c>
      <c r="S17">
        <v>24</v>
      </c>
      <c r="T17">
        <v>18</v>
      </c>
      <c r="U17">
        <v>11</v>
      </c>
      <c r="V17">
        <v>53</v>
      </c>
      <c r="W17" s="45">
        <v>113.9</v>
      </c>
      <c r="X17" s="45">
        <v>104.7</v>
      </c>
      <c r="Y17" s="45">
        <v>67.9</v>
      </c>
      <c r="Z17" s="45">
        <v>286.5</v>
      </c>
      <c r="AA17">
        <v>7</v>
      </c>
      <c r="AB17">
        <v>8</v>
      </c>
      <c r="AC17">
        <v>22</v>
      </c>
      <c r="AD17">
        <v>37</v>
      </c>
      <c r="AE17" s="45">
        <v>144.2</v>
      </c>
      <c r="AF17" s="45">
        <v>131</v>
      </c>
      <c r="AG17" s="45">
        <v>543.1</v>
      </c>
      <c r="AH17" s="45">
        <v>818.3</v>
      </c>
      <c r="AI17">
        <v>12</v>
      </c>
      <c r="AJ17">
        <v>2</v>
      </c>
      <c r="AK17">
        <v>6</v>
      </c>
      <c r="AL17">
        <v>20</v>
      </c>
      <c r="AM17" s="45">
        <v>207</v>
      </c>
      <c r="AN17" s="45">
        <v>23.5</v>
      </c>
      <c r="AO17" s="45">
        <v>91.9</v>
      </c>
      <c r="AP17" s="45">
        <v>322.4</v>
      </c>
      <c r="AQ17">
        <v>2</v>
      </c>
      <c r="AR17">
        <v>1</v>
      </c>
      <c r="AS17">
        <v>5</v>
      </c>
      <c r="AT17">
        <v>8</v>
      </c>
      <c r="AU17" s="45">
        <v>6.4</v>
      </c>
      <c r="AV17" s="45">
        <v>4.2</v>
      </c>
      <c r="AW17" s="45">
        <v>17.8</v>
      </c>
      <c r="AX17" s="45">
        <v>28.4</v>
      </c>
      <c r="AY17">
        <v>10</v>
      </c>
      <c r="AZ17">
        <v>2</v>
      </c>
      <c r="BA17">
        <v>2</v>
      </c>
      <c r="BB17">
        <v>14</v>
      </c>
      <c r="BC17" s="45">
        <v>40.8</v>
      </c>
      <c r="BD17" s="45">
        <v>4.1</v>
      </c>
      <c r="BE17" s="45">
        <v>21.3</v>
      </c>
      <c r="BF17" s="45">
        <v>66.2</v>
      </c>
      <c r="BG17">
        <v>2</v>
      </c>
      <c r="BH17">
        <v>1</v>
      </c>
      <c r="BI17">
        <v>3</v>
      </c>
      <c r="BJ17">
        <v>6</v>
      </c>
      <c r="BK17" s="45">
        <v>125.6</v>
      </c>
      <c r="BL17" s="45">
        <v>45</v>
      </c>
      <c r="BM17" s="45">
        <v>326.6</v>
      </c>
      <c r="BN17" s="45">
        <v>497.2</v>
      </c>
      <c r="BO17">
        <v>1688</v>
      </c>
      <c r="BP17">
        <v>348</v>
      </c>
      <c r="BQ17">
        <v>97</v>
      </c>
      <c r="BR17">
        <v>2133</v>
      </c>
      <c r="BS17" s="45">
        <v>1297.29</v>
      </c>
      <c r="BT17" s="45">
        <v>495.47</v>
      </c>
      <c r="BU17" s="45">
        <v>1100.99</v>
      </c>
      <c r="BV17" s="45">
        <v>2893.75</v>
      </c>
      <c r="BW17">
        <v>1438</v>
      </c>
      <c r="BX17">
        <v>236</v>
      </c>
      <c r="BY17">
        <v>35</v>
      </c>
      <c r="BZ17">
        <v>1709</v>
      </c>
      <c r="CA17" s="45">
        <v>332.23</v>
      </c>
      <c r="CB17" s="45">
        <v>60.1</v>
      </c>
      <c r="CC17" s="45">
        <v>7.72</v>
      </c>
      <c r="CD17" s="45">
        <v>400.05</v>
      </c>
      <c r="CE17">
        <v>162</v>
      </c>
      <c r="CF17">
        <v>54</v>
      </c>
      <c r="CG17">
        <v>8</v>
      </c>
      <c r="CH17">
        <v>224</v>
      </c>
      <c r="CI17" s="45">
        <v>296.1</v>
      </c>
      <c r="CJ17" s="45">
        <v>104.5</v>
      </c>
      <c r="CK17" s="45">
        <v>15.5</v>
      </c>
      <c r="CL17" s="45">
        <v>416.1</v>
      </c>
      <c r="CM17">
        <v>24</v>
      </c>
      <c r="CN17">
        <v>17</v>
      </c>
      <c r="CO17">
        <v>11</v>
      </c>
      <c r="CP17">
        <v>52</v>
      </c>
      <c r="CQ17" s="45">
        <v>109.1</v>
      </c>
      <c r="CR17" s="45">
        <v>91</v>
      </c>
      <c r="CS17" s="45">
        <v>61.2</v>
      </c>
      <c r="CT17" s="45">
        <v>261.3</v>
      </c>
      <c r="CU17">
        <v>7</v>
      </c>
      <c r="CV17">
        <v>7</v>
      </c>
      <c r="CW17">
        <v>21</v>
      </c>
      <c r="CX17">
        <v>35</v>
      </c>
      <c r="CY17" s="45">
        <v>131.7</v>
      </c>
      <c r="CZ17" s="45">
        <v>128.4</v>
      </c>
      <c r="DA17" s="45">
        <v>424.8</v>
      </c>
      <c r="DB17" s="45">
        <v>684.9</v>
      </c>
      <c r="DC17">
        <v>12</v>
      </c>
      <c r="DD17">
        <v>2</v>
      </c>
      <c r="DE17">
        <v>6</v>
      </c>
      <c r="DF17">
        <v>20</v>
      </c>
      <c r="DG17" s="45">
        <v>187.2</v>
      </c>
      <c r="DH17" s="45">
        <v>20.6</v>
      </c>
      <c r="DI17" s="45">
        <v>88.8</v>
      </c>
      <c r="DJ17" s="45">
        <v>296.6</v>
      </c>
      <c r="DK17">
        <v>2</v>
      </c>
      <c r="DL17">
        <v>1</v>
      </c>
      <c r="DM17">
        <v>4</v>
      </c>
      <c r="DN17">
        <v>7</v>
      </c>
      <c r="DO17" s="45">
        <v>5.8</v>
      </c>
      <c r="DP17" s="45">
        <v>4.2</v>
      </c>
      <c r="DQ17" s="45">
        <v>10.4</v>
      </c>
      <c r="DR17" s="45">
        <v>20.4</v>
      </c>
      <c r="DS17">
        <v>10</v>
      </c>
      <c r="DT17">
        <v>2</v>
      </c>
      <c r="DU17">
        <v>2</v>
      </c>
      <c r="DV17">
        <v>14</v>
      </c>
      <c r="DW17" s="45">
        <v>35.8</v>
      </c>
      <c r="DX17" s="45">
        <v>4.1</v>
      </c>
      <c r="DY17" s="45">
        <v>8.6</v>
      </c>
      <c r="DZ17" s="45">
        <v>48.5</v>
      </c>
      <c r="EA17">
        <v>2</v>
      </c>
      <c r="EB17">
        <v>1</v>
      </c>
      <c r="EC17">
        <v>3</v>
      </c>
      <c r="ED17">
        <v>6</v>
      </c>
      <c r="EE17">
        <v>122.1</v>
      </c>
      <c r="EF17" s="45">
        <v>45</v>
      </c>
      <c r="EG17" s="45">
        <v>145.8</v>
      </c>
      <c r="EH17" s="45">
        <v>312.9</v>
      </c>
      <c r="EI17">
        <v>1657</v>
      </c>
      <c r="EJ17">
        <v>320</v>
      </c>
      <c r="EK17">
        <v>90</v>
      </c>
      <c r="EL17">
        <v>2067</v>
      </c>
      <c r="EM17" s="45">
        <v>1220.03</v>
      </c>
      <c r="EN17" s="45">
        <v>457.9</v>
      </c>
      <c r="EO17" s="45">
        <v>762.82</v>
      </c>
      <c r="EP17">
        <v>2440.75</v>
      </c>
    </row>
    <row r="18" spans="1:146" ht="9">
      <c r="A18" s="53" t="s">
        <v>37</v>
      </c>
      <c r="B18">
        <v>53</v>
      </c>
      <c r="C18">
        <v>1699</v>
      </c>
      <c r="D18">
        <v>48</v>
      </c>
      <c r="E18">
        <v>10</v>
      </c>
      <c r="F18">
        <v>1757</v>
      </c>
      <c r="G18" s="45">
        <v>439.81</v>
      </c>
      <c r="H18" s="45">
        <v>13.19</v>
      </c>
      <c r="I18" s="45">
        <v>3.51</v>
      </c>
      <c r="J18" s="45">
        <v>456.51</v>
      </c>
      <c r="K18">
        <v>248</v>
      </c>
      <c r="L18">
        <v>23</v>
      </c>
      <c r="M18">
        <v>6</v>
      </c>
      <c r="N18">
        <v>277</v>
      </c>
      <c r="O18" s="45">
        <v>524.5</v>
      </c>
      <c r="P18" s="45">
        <v>63.7</v>
      </c>
      <c r="Q18" s="45">
        <v>14</v>
      </c>
      <c r="R18" s="45">
        <v>602.2</v>
      </c>
      <c r="S18">
        <v>26</v>
      </c>
      <c r="T18">
        <v>6</v>
      </c>
      <c r="U18">
        <v>2</v>
      </c>
      <c r="V18">
        <v>34</v>
      </c>
      <c r="W18" s="45">
        <v>152.2</v>
      </c>
      <c r="X18" s="45">
        <v>36.4</v>
      </c>
      <c r="Y18" s="45">
        <v>12.3</v>
      </c>
      <c r="Z18" s="45">
        <v>200.9</v>
      </c>
      <c r="AA18">
        <v>64</v>
      </c>
      <c r="AB18">
        <v>9</v>
      </c>
      <c r="AC18">
        <v>4</v>
      </c>
      <c r="AD18">
        <v>77</v>
      </c>
      <c r="AE18" s="45">
        <v>1329.9</v>
      </c>
      <c r="AF18" s="45">
        <v>192.9</v>
      </c>
      <c r="AG18" s="45">
        <v>81.2</v>
      </c>
      <c r="AH18" s="45">
        <v>1604</v>
      </c>
      <c r="AI18">
        <v>33</v>
      </c>
      <c r="AJ18">
        <v>1</v>
      </c>
      <c r="AK18">
        <v>1</v>
      </c>
      <c r="AL18">
        <v>35</v>
      </c>
      <c r="AM18" s="45">
        <v>358.6</v>
      </c>
      <c r="AN18" s="45">
        <v>18.6</v>
      </c>
      <c r="AO18" s="45">
        <v>49.5</v>
      </c>
      <c r="AP18" s="45">
        <v>426.7</v>
      </c>
      <c r="AQ18">
        <v>20</v>
      </c>
      <c r="AR18">
        <v>2</v>
      </c>
      <c r="AS18">
        <v>3</v>
      </c>
      <c r="AT18">
        <v>25</v>
      </c>
      <c r="AU18" s="45">
        <v>348.6</v>
      </c>
      <c r="AV18" s="45">
        <v>21</v>
      </c>
      <c r="AW18" s="45">
        <v>48.4</v>
      </c>
      <c r="AX18" s="45">
        <v>418</v>
      </c>
      <c r="AY18">
        <v>34</v>
      </c>
      <c r="AZ18">
        <v>2</v>
      </c>
      <c r="BA18">
        <v>1</v>
      </c>
      <c r="BB18">
        <v>37</v>
      </c>
      <c r="BC18" s="45">
        <v>433.3</v>
      </c>
      <c r="BD18" s="45">
        <v>8.5</v>
      </c>
      <c r="BE18" s="45">
        <v>60.2</v>
      </c>
      <c r="BF18" s="45">
        <v>502</v>
      </c>
      <c r="BG18">
        <v>7</v>
      </c>
      <c r="BH18">
        <v>1</v>
      </c>
      <c r="BI18">
        <v>4</v>
      </c>
      <c r="BJ18">
        <v>12</v>
      </c>
      <c r="BK18" s="45">
        <v>627.7</v>
      </c>
      <c r="BL18" s="45">
        <v>311.4</v>
      </c>
      <c r="BM18" s="45">
        <v>410.3</v>
      </c>
      <c r="BN18" s="45">
        <v>1349.4</v>
      </c>
      <c r="BO18">
        <v>2131</v>
      </c>
      <c r="BP18">
        <v>92</v>
      </c>
      <c r="BQ18">
        <v>31</v>
      </c>
      <c r="BR18">
        <v>2254</v>
      </c>
      <c r="BS18" s="45">
        <v>4214.61</v>
      </c>
      <c r="BT18" s="45">
        <v>665.69</v>
      </c>
      <c r="BU18" s="45">
        <v>679.41</v>
      </c>
      <c r="BV18" s="45">
        <v>5559.71</v>
      </c>
      <c r="BW18">
        <v>1574</v>
      </c>
      <c r="BX18">
        <v>44</v>
      </c>
      <c r="BY18">
        <v>5</v>
      </c>
      <c r="BZ18">
        <v>1623</v>
      </c>
      <c r="CA18" s="45">
        <v>385.13</v>
      </c>
      <c r="CB18" s="45">
        <v>9.81</v>
      </c>
      <c r="CC18" s="45">
        <v>1.46</v>
      </c>
      <c r="CD18" s="45">
        <v>396.4</v>
      </c>
      <c r="CE18">
        <v>220</v>
      </c>
      <c r="CF18">
        <v>20</v>
      </c>
      <c r="CG18">
        <v>4</v>
      </c>
      <c r="CH18">
        <v>244</v>
      </c>
      <c r="CI18" s="45">
        <v>399.65</v>
      </c>
      <c r="CJ18" s="45">
        <v>46.8</v>
      </c>
      <c r="CK18" s="45">
        <v>9.2</v>
      </c>
      <c r="CL18" s="45">
        <v>455.65</v>
      </c>
      <c r="CM18">
        <v>26</v>
      </c>
      <c r="CN18">
        <v>5</v>
      </c>
      <c r="CO18">
        <v>2</v>
      </c>
      <c r="CP18">
        <v>33</v>
      </c>
      <c r="CQ18" s="45">
        <v>140.1</v>
      </c>
      <c r="CR18" s="45">
        <v>28.3</v>
      </c>
      <c r="CS18" s="45">
        <v>12.3</v>
      </c>
      <c r="CT18" s="45">
        <v>180.7</v>
      </c>
      <c r="CU18">
        <v>62</v>
      </c>
      <c r="CV18">
        <v>9</v>
      </c>
      <c r="CW18">
        <v>4</v>
      </c>
      <c r="CX18">
        <v>75</v>
      </c>
      <c r="CY18" s="45">
        <v>955.88</v>
      </c>
      <c r="CZ18" s="45">
        <v>162.1</v>
      </c>
      <c r="DA18" s="45">
        <v>73.3</v>
      </c>
      <c r="DB18" s="45">
        <v>1191.28</v>
      </c>
      <c r="DC18">
        <v>30</v>
      </c>
      <c r="DD18">
        <v>0</v>
      </c>
      <c r="DE18">
        <v>2</v>
      </c>
      <c r="DF18">
        <v>32</v>
      </c>
      <c r="DG18" s="45">
        <v>224.2</v>
      </c>
      <c r="DH18" s="45">
        <v>5</v>
      </c>
      <c r="DI18" s="45">
        <v>44.6</v>
      </c>
      <c r="DJ18" s="45">
        <v>273.8</v>
      </c>
      <c r="DK18">
        <v>19</v>
      </c>
      <c r="DL18">
        <v>1</v>
      </c>
      <c r="DM18">
        <v>2</v>
      </c>
      <c r="DN18">
        <v>22</v>
      </c>
      <c r="DO18" s="45">
        <v>179.61</v>
      </c>
      <c r="DP18" s="45">
        <v>12.4</v>
      </c>
      <c r="DQ18" s="45">
        <v>21.8</v>
      </c>
      <c r="DR18" s="45">
        <v>213.81</v>
      </c>
      <c r="DS18">
        <v>31</v>
      </c>
      <c r="DT18">
        <v>2</v>
      </c>
      <c r="DU18">
        <v>1</v>
      </c>
      <c r="DV18">
        <v>34</v>
      </c>
      <c r="DW18" s="45">
        <v>341.1</v>
      </c>
      <c r="DX18" s="45">
        <v>2.3</v>
      </c>
      <c r="DY18" s="45">
        <v>56.6</v>
      </c>
      <c r="DZ18" s="45">
        <v>400</v>
      </c>
      <c r="EA18">
        <v>7</v>
      </c>
      <c r="EB18">
        <v>1</v>
      </c>
      <c r="EC18">
        <v>3</v>
      </c>
      <c r="ED18">
        <v>11</v>
      </c>
      <c r="EE18">
        <v>438</v>
      </c>
      <c r="EF18" s="45">
        <v>142.1</v>
      </c>
      <c r="EG18" s="45">
        <v>375.7</v>
      </c>
      <c r="EH18" s="45">
        <v>955.8</v>
      </c>
      <c r="EI18">
        <v>1969</v>
      </c>
      <c r="EJ18">
        <v>82</v>
      </c>
      <c r="EK18">
        <v>23</v>
      </c>
      <c r="EL18">
        <v>2074</v>
      </c>
      <c r="EM18" s="45">
        <v>3063.67</v>
      </c>
      <c r="EN18" s="45">
        <v>408.81</v>
      </c>
      <c r="EO18" s="45">
        <v>594.96</v>
      </c>
      <c r="EP18">
        <v>4067.44</v>
      </c>
    </row>
    <row r="19" spans="1:146" ht="9">
      <c r="A19" s="53" t="s">
        <v>38</v>
      </c>
      <c r="B19">
        <v>32</v>
      </c>
      <c r="C19">
        <v>1714</v>
      </c>
      <c r="D19">
        <v>205</v>
      </c>
      <c r="E19">
        <v>22</v>
      </c>
      <c r="F19">
        <v>1941</v>
      </c>
      <c r="G19" s="45">
        <v>374.9</v>
      </c>
      <c r="H19" s="45">
        <v>54.53</v>
      </c>
      <c r="I19" s="45">
        <v>6.62</v>
      </c>
      <c r="J19" s="45">
        <v>436.05</v>
      </c>
      <c r="K19">
        <v>178</v>
      </c>
      <c r="L19">
        <v>40</v>
      </c>
      <c r="M19">
        <v>13</v>
      </c>
      <c r="N19">
        <v>231</v>
      </c>
      <c r="O19" s="45">
        <v>288.5</v>
      </c>
      <c r="P19" s="45">
        <v>82.3</v>
      </c>
      <c r="Q19" s="45">
        <v>24</v>
      </c>
      <c r="R19" s="45">
        <v>394.8</v>
      </c>
      <c r="S19">
        <v>34</v>
      </c>
      <c r="T19">
        <v>7</v>
      </c>
      <c r="U19">
        <v>14</v>
      </c>
      <c r="V19">
        <v>55</v>
      </c>
      <c r="W19" s="45">
        <v>149.4</v>
      </c>
      <c r="X19" s="45">
        <v>47</v>
      </c>
      <c r="Y19" s="45">
        <v>81.7</v>
      </c>
      <c r="Z19" s="45">
        <v>278.1</v>
      </c>
      <c r="AA19">
        <v>14</v>
      </c>
      <c r="AB19">
        <v>5</v>
      </c>
      <c r="AC19">
        <v>18</v>
      </c>
      <c r="AD19">
        <v>37</v>
      </c>
      <c r="AE19" s="45">
        <v>274.8</v>
      </c>
      <c r="AF19" s="45">
        <v>74</v>
      </c>
      <c r="AG19" s="45">
        <v>367.2</v>
      </c>
      <c r="AH19" s="45">
        <v>716</v>
      </c>
      <c r="AI19">
        <v>17</v>
      </c>
      <c r="AJ19">
        <v>2</v>
      </c>
      <c r="AK19">
        <v>8</v>
      </c>
      <c r="AL19">
        <v>27</v>
      </c>
      <c r="AM19" s="45">
        <v>234.3</v>
      </c>
      <c r="AN19" s="45">
        <v>22.5</v>
      </c>
      <c r="AO19" s="45">
        <v>182.5</v>
      </c>
      <c r="AP19" s="45">
        <v>439.3</v>
      </c>
      <c r="AQ19">
        <v>11</v>
      </c>
      <c r="AR19">
        <v>6</v>
      </c>
      <c r="AS19">
        <v>21</v>
      </c>
      <c r="AT19">
        <v>38</v>
      </c>
      <c r="AU19" s="45">
        <v>70</v>
      </c>
      <c r="AV19" s="45">
        <v>91</v>
      </c>
      <c r="AW19" s="45">
        <v>578.7</v>
      </c>
      <c r="AX19" s="45">
        <v>739.7</v>
      </c>
      <c r="AY19">
        <v>7</v>
      </c>
      <c r="AZ19">
        <v>3</v>
      </c>
      <c r="BA19">
        <v>6</v>
      </c>
      <c r="BB19">
        <v>16</v>
      </c>
      <c r="BC19" s="45">
        <v>16.1</v>
      </c>
      <c r="BD19" s="45">
        <v>11.3</v>
      </c>
      <c r="BE19" s="45">
        <v>39.8</v>
      </c>
      <c r="BF19" s="45">
        <v>67.2</v>
      </c>
      <c r="BG19">
        <v>0</v>
      </c>
      <c r="BH19">
        <v>1</v>
      </c>
      <c r="BI19">
        <v>10</v>
      </c>
      <c r="BJ19">
        <v>11</v>
      </c>
      <c r="BK19" s="45">
        <v>0</v>
      </c>
      <c r="BL19" s="45">
        <v>64.7</v>
      </c>
      <c r="BM19" s="45">
        <v>734.4</v>
      </c>
      <c r="BN19" s="45">
        <v>799.1</v>
      </c>
      <c r="BO19">
        <v>1975</v>
      </c>
      <c r="BP19">
        <v>269</v>
      </c>
      <c r="BQ19">
        <v>112</v>
      </c>
      <c r="BR19">
        <v>2356</v>
      </c>
      <c r="BS19" s="45">
        <v>1408</v>
      </c>
      <c r="BT19" s="45">
        <v>447.33</v>
      </c>
      <c r="BU19" s="45">
        <v>2014.92</v>
      </c>
      <c r="BV19" s="45">
        <v>3870.25</v>
      </c>
      <c r="BW19">
        <v>1673</v>
      </c>
      <c r="BX19">
        <v>201</v>
      </c>
      <c r="BY19">
        <v>22</v>
      </c>
      <c r="BZ19">
        <v>1896</v>
      </c>
      <c r="CA19" s="45">
        <v>363.16</v>
      </c>
      <c r="CB19" s="45">
        <v>52.84</v>
      </c>
      <c r="CC19" s="45">
        <v>6.36</v>
      </c>
      <c r="CD19" s="45">
        <v>422.36</v>
      </c>
      <c r="CE19">
        <v>169</v>
      </c>
      <c r="CF19">
        <v>40</v>
      </c>
      <c r="CG19">
        <v>13</v>
      </c>
      <c r="CH19">
        <v>222</v>
      </c>
      <c r="CI19" s="45">
        <v>265.8</v>
      </c>
      <c r="CJ19" s="45">
        <v>81.9</v>
      </c>
      <c r="CK19" s="45">
        <v>24</v>
      </c>
      <c r="CL19" s="45">
        <v>371.7</v>
      </c>
      <c r="CM19">
        <v>34</v>
      </c>
      <c r="CN19">
        <v>7</v>
      </c>
      <c r="CO19">
        <v>14</v>
      </c>
      <c r="CP19">
        <v>55</v>
      </c>
      <c r="CQ19" s="45">
        <v>140.4</v>
      </c>
      <c r="CR19" s="45">
        <v>47</v>
      </c>
      <c r="CS19" s="45">
        <v>74</v>
      </c>
      <c r="CT19" s="45">
        <v>261.4</v>
      </c>
      <c r="CU19">
        <v>13</v>
      </c>
      <c r="CV19">
        <v>6</v>
      </c>
      <c r="CW19">
        <v>16</v>
      </c>
      <c r="CX19">
        <v>35</v>
      </c>
      <c r="CY19" s="45">
        <v>243.5</v>
      </c>
      <c r="CZ19" s="45">
        <v>89.5</v>
      </c>
      <c r="DA19" s="45">
        <v>213.8</v>
      </c>
      <c r="DB19" s="45">
        <v>546.8</v>
      </c>
      <c r="DC19">
        <v>17</v>
      </c>
      <c r="DD19">
        <v>2</v>
      </c>
      <c r="DE19">
        <v>7</v>
      </c>
      <c r="DF19">
        <v>26</v>
      </c>
      <c r="DG19" s="45">
        <v>220.4</v>
      </c>
      <c r="DH19" s="45">
        <v>22.8</v>
      </c>
      <c r="DI19" s="45">
        <v>132.4</v>
      </c>
      <c r="DJ19" s="45">
        <v>375.6</v>
      </c>
      <c r="DK19">
        <v>8</v>
      </c>
      <c r="DL19">
        <v>4</v>
      </c>
      <c r="DM19">
        <v>18</v>
      </c>
      <c r="DN19">
        <v>30</v>
      </c>
      <c r="DO19" s="45">
        <v>36.3</v>
      </c>
      <c r="DP19" s="45">
        <v>47.3</v>
      </c>
      <c r="DQ19" s="45">
        <v>294.7</v>
      </c>
      <c r="DR19" s="45">
        <v>378.3</v>
      </c>
      <c r="DS19">
        <v>7</v>
      </c>
      <c r="DT19">
        <v>3</v>
      </c>
      <c r="DU19">
        <v>6</v>
      </c>
      <c r="DV19">
        <v>16</v>
      </c>
      <c r="DW19" s="45">
        <v>12.4</v>
      </c>
      <c r="DX19" s="45">
        <v>10.5</v>
      </c>
      <c r="DY19" s="45">
        <v>32.6</v>
      </c>
      <c r="DZ19" s="45">
        <v>55.5</v>
      </c>
      <c r="EA19">
        <v>0</v>
      </c>
      <c r="EB19">
        <v>1</v>
      </c>
      <c r="EC19">
        <v>9</v>
      </c>
      <c r="ED19">
        <v>10</v>
      </c>
      <c r="EE19">
        <v>0</v>
      </c>
      <c r="EF19" s="45">
        <v>64.6</v>
      </c>
      <c r="EG19" s="45">
        <v>384.3</v>
      </c>
      <c r="EH19" s="45">
        <v>448.9</v>
      </c>
      <c r="EI19">
        <v>1921</v>
      </c>
      <c r="EJ19">
        <v>264</v>
      </c>
      <c r="EK19">
        <v>105</v>
      </c>
      <c r="EL19">
        <v>2290</v>
      </c>
      <c r="EM19" s="45">
        <v>1281.96</v>
      </c>
      <c r="EN19" s="45">
        <v>416.44</v>
      </c>
      <c r="EO19" s="45">
        <v>1162.16</v>
      </c>
      <c r="EP19">
        <v>2860.56</v>
      </c>
    </row>
    <row r="20" spans="1:146" ht="9">
      <c r="A20" s="53" t="s">
        <v>39</v>
      </c>
      <c r="B20">
        <v>17</v>
      </c>
      <c r="C20">
        <v>25</v>
      </c>
      <c r="D20">
        <v>30</v>
      </c>
      <c r="E20">
        <v>8</v>
      </c>
      <c r="F20">
        <v>63</v>
      </c>
      <c r="G20" s="45">
        <v>8.32</v>
      </c>
      <c r="H20" s="45">
        <v>8.24</v>
      </c>
      <c r="I20" s="45">
        <v>2.83</v>
      </c>
      <c r="J20" s="45">
        <v>19.39</v>
      </c>
      <c r="K20">
        <v>8</v>
      </c>
      <c r="L20">
        <v>10</v>
      </c>
      <c r="M20">
        <v>10</v>
      </c>
      <c r="N20">
        <v>28</v>
      </c>
      <c r="O20" s="45">
        <v>14</v>
      </c>
      <c r="P20" s="45">
        <v>19.1</v>
      </c>
      <c r="Q20" s="45">
        <v>19</v>
      </c>
      <c r="R20" s="45">
        <v>52.1</v>
      </c>
      <c r="S20">
        <v>3</v>
      </c>
      <c r="T20">
        <v>1</v>
      </c>
      <c r="U20">
        <v>8</v>
      </c>
      <c r="V20">
        <v>12</v>
      </c>
      <c r="W20" s="45">
        <v>13.8</v>
      </c>
      <c r="X20" s="45">
        <v>4.4</v>
      </c>
      <c r="Y20" s="45">
        <v>45</v>
      </c>
      <c r="Z20" s="45">
        <v>63.2</v>
      </c>
      <c r="AA20">
        <v>0</v>
      </c>
      <c r="AB20">
        <v>0</v>
      </c>
      <c r="AC20">
        <v>10</v>
      </c>
      <c r="AD20">
        <v>10</v>
      </c>
      <c r="AE20" s="45">
        <v>0</v>
      </c>
      <c r="AF20" s="45">
        <v>0</v>
      </c>
      <c r="AG20" s="45">
        <v>141.1</v>
      </c>
      <c r="AH20" s="45">
        <v>141.1</v>
      </c>
      <c r="AI20">
        <v>2</v>
      </c>
      <c r="AJ20">
        <v>0</v>
      </c>
      <c r="AK20">
        <v>3</v>
      </c>
      <c r="AL20">
        <v>5</v>
      </c>
      <c r="AM20" s="45">
        <v>48.9</v>
      </c>
      <c r="AN20" s="45">
        <v>0</v>
      </c>
      <c r="AO20" s="45">
        <v>85</v>
      </c>
      <c r="AP20" s="45">
        <v>133.9</v>
      </c>
      <c r="AQ20">
        <v>1</v>
      </c>
      <c r="AR20">
        <v>0</v>
      </c>
      <c r="AS20">
        <v>2</v>
      </c>
      <c r="AT20">
        <v>3</v>
      </c>
      <c r="AU20" s="45">
        <v>6.1</v>
      </c>
      <c r="AV20" s="45">
        <v>0</v>
      </c>
      <c r="AW20" s="45">
        <v>39.5</v>
      </c>
      <c r="AX20" s="45">
        <v>45.6</v>
      </c>
      <c r="AY20">
        <v>2</v>
      </c>
      <c r="AZ20">
        <v>0</v>
      </c>
      <c r="BA20">
        <v>0</v>
      </c>
      <c r="BB20">
        <v>2</v>
      </c>
      <c r="BC20" s="45">
        <v>1.1</v>
      </c>
      <c r="BD20" s="45">
        <v>0</v>
      </c>
      <c r="BE20" s="45">
        <v>0</v>
      </c>
      <c r="BF20" s="45">
        <v>1.1</v>
      </c>
      <c r="BG20">
        <v>0</v>
      </c>
      <c r="BH20">
        <v>1</v>
      </c>
      <c r="BI20">
        <v>4</v>
      </c>
      <c r="BJ20">
        <v>5</v>
      </c>
      <c r="BK20" s="45">
        <v>0</v>
      </c>
      <c r="BL20" s="45">
        <v>51.1</v>
      </c>
      <c r="BM20" s="45">
        <v>317.6</v>
      </c>
      <c r="BN20" s="45">
        <v>368.7</v>
      </c>
      <c r="BO20">
        <v>41</v>
      </c>
      <c r="BP20">
        <v>42</v>
      </c>
      <c r="BQ20">
        <v>45</v>
      </c>
      <c r="BR20">
        <v>128</v>
      </c>
      <c r="BS20" s="45">
        <v>92.22</v>
      </c>
      <c r="BT20" s="45">
        <v>82.84</v>
      </c>
      <c r="BU20" s="45">
        <v>650.03</v>
      </c>
      <c r="BV20" s="45">
        <v>825.09</v>
      </c>
      <c r="BW20">
        <v>25</v>
      </c>
      <c r="BX20">
        <v>29</v>
      </c>
      <c r="BY20">
        <v>8</v>
      </c>
      <c r="BZ20">
        <v>62</v>
      </c>
      <c r="CA20" s="45">
        <v>8.24</v>
      </c>
      <c r="CB20" s="45">
        <v>7.37</v>
      </c>
      <c r="CC20" s="45">
        <v>2.83</v>
      </c>
      <c r="CD20" s="45">
        <v>18.44</v>
      </c>
      <c r="CE20">
        <v>7</v>
      </c>
      <c r="CF20">
        <v>9</v>
      </c>
      <c r="CG20">
        <v>10</v>
      </c>
      <c r="CH20">
        <v>26</v>
      </c>
      <c r="CI20" s="45">
        <v>10.6</v>
      </c>
      <c r="CJ20" s="45">
        <v>17.3</v>
      </c>
      <c r="CK20" s="45">
        <v>19</v>
      </c>
      <c r="CL20" s="45">
        <v>46.9</v>
      </c>
      <c r="CM20">
        <v>2</v>
      </c>
      <c r="CN20">
        <v>1</v>
      </c>
      <c r="CO20">
        <v>8</v>
      </c>
      <c r="CP20">
        <v>11</v>
      </c>
      <c r="CQ20" s="45">
        <v>9.1</v>
      </c>
      <c r="CR20" s="45">
        <v>4.4</v>
      </c>
      <c r="CS20" s="45">
        <v>43.6</v>
      </c>
      <c r="CT20" s="45">
        <v>57.1</v>
      </c>
      <c r="CU20">
        <v>0</v>
      </c>
      <c r="CV20">
        <v>0</v>
      </c>
      <c r="CW20">
        <v>10</v>
      </c>
      <c r="CX20">
        <v>10</v>
      </c>
      <c r="CY20" s="45">
        <v>0</v>
      </c>
      <c r="CZ20" s="45">
        <v>0</v>
      </c>
      <c r="DA20" s="45">
        <v>139.7</v>
      </c>
      <c r="DB20" s="45">
        <v>139.7</v>
      </c>
      <c r="DC20">
        <v>2</v>
      </c>
      <c r="DD20">
        <v>0</v>
      </c>
      <c r="DE20">
        <v>3</v>
      </c>
      <c r="DF20">
        <v>5</v>
      </c>
      <c r="DG20" s="45">
        <v>48.9</v>
      </c>
      <c r="DH20" s="45">
        <v>0</v>
      </c>
      <c r="DI20" s="45">
        <v>72.2</v>
      </c>
      <c r="DJ20" s="45">
        <v>121.1</v>
      </c>
      <c r="DK20">
        <v>1</v>
      </c>
      <c r="DL20">
        <v>0</v>
      </c>
      <c r="DM20">
        <v>2</v>
      </c>
      <c r="DN20">
        <v>3</v>
      </c>
      <c r="DO20" s="45">
        <v>6.1</v>
      </c>
      <c r="DP20" s="45">
        <v>0</v>
      </c>
      <c r="DQ20" s="45">
        <v>39.5</v>
      </c>
      <c r="DR20" s="45">
        <v>45.6</v>
      </c>
      <c r="DS20">
        <v>2</v>
      </c>
      <c r="DT20">
        <v>0</v>
      </c>
      <c r="DU20">
        <v>0</v>
      </c>
      <c r="DV20">
        <v>2</v>
      </c>
      <c r="DW20" s="45">
        <v>1.1</v>
      </c>
      <c r="DX20" s="45">
        <v>0</v>
      </c>
      <c r="DY20" s="45">
        <v>0</v>
      </c>
      <c r="DZ20" s="45">
        <v>1.1</v>
      </c>
      <c r="EA20">
        <v>0</v>
      </c>
      <c r="EB20">
        <v>1</v>
      </c>
      <c r="EC20">
        <v>4</v>
      </c>
      <c r="ED20">
        <v>5</v>
      </c>
      <c r="EE20">
        <v>0</v>
      </c>
      <c r="EF20" s="45">
        <v>51.1</v>
      </c>
      <c r="EG20" s="45">
        <v>164.6</v>
      </c>
      <c r="EH20" s="45">
        <v>215.7</v>
      </c>
      <c r="EI20">
        <v>39</v>
      </c>
      <c r="EJ20">
        <v>40</v>
      </c>
      <c r="EK20">
        <v>45</v>
      </c>
      <c r="EL20">
        <v>124</v>
      </c>
      <c r="EM20" s="45">
        <v>84.04</v>
      </c>
      <c r="EN20" s="45">
        <v>80.17</v>
      </c>
      <c r="EO20" s="45">
        <v>481.43</v>
      </c>
      <c r="EP20">
        <v>645.64</v>
      </c>
    </row>
    <row r="21" spans="1:146" ht="9">
      <c r="A21" s="53" t="s">
        <v>40</v>
      </c>
      <c r="B21">
        <v>36</v>
      </c>
      <c r="C21">
        <v>181</v>
      </c>
      <c r="D21">
        <v>132</v>
      </c>
      <c r="E21">
        <v>43</v>
      </c>
      <c r="F21">
        <v>356</v>
      </c>
      <c r="G21" s="45">
        <v>42.4</v>
      </c>
      <c r="H21" s="45">
        <v>31.7</v>
      </c>
      <c r="I21" s="45">
        <v>10.19</v>
      </c>
      <c r="J21" s="45">
        <v>84.29</v>
      </c>
      <c r="K21">
        <v>36</v>
      </c>
      <c r="L21">
        <v>14</v>
      </c>
      <c r="M21">
        <v>22</v>
      </c>
      <c r="N21">
        <v>72</v>
      </c>
      <c r="O21" s="45">
        <v>60.6</v>
      </c>
      <c r="P21" s="45">
        <v>29.6</v>
      </c>
      <c r="Q21" s="45">
        <v>50.6</v>
      </c>
      <c r="R21" s="45">
        <v>140.8</v>
      </c>
      <c r="S21">
        <v>12</v>
      </c>
      <c r="T21">
        <v>7</v>
      </c>
      <c r="U21">
        <v>19</v>
      </c>
      <c r="V21">
        <v>38</v>
      </c>
      <c r="W21" s="45">
        <v>63.6</v>
      </c>
      <c r="X21" s="45">
        <v>36.9</v>
      </c>
      <c r="Y21" s="45">
        <v>130.2</v>
      </c>
      <c r="Z21" s="45">
        <v>230.7</v>
      </c>
      <c r="AA21">
        <v>9</v>
      </c>
      <c r="AB21">
        <v>9</v>
      </c>
      <c r="AC21">
        <v>17</v>
      </c>
      <c r="AD21">
        <v>35</v>
      </c>
      <c r="AE21" s="45">
        <v>149.2</v>
      </c>
      <c r="AF21" s="45">
        <v>301.5</v>
      </c>
      <c r="AG21" s="45">
        <v>468</v>
      </c>
      <c r="AH21" s="45">
        <v>918.7</v>
      </c>
      <c r="AI21">
        <v>2</v>
      </c>
      <c r="AJ21">
        <v>1</v>
      </c>
      <c r="AK21">
        <v>7</v>
      </c>
      <c r="AL21">
        <v>10</v>
      </c>
      <c r="AM21" s="45">
        <v>56.3</v>
      </c>
      <c r="AN21" s="45">
        <v>30.7</v>
      </c>
      <c r="AO21" s="45">
        <v>171.7</v>
      </c>
      <c r="AP21" s="45">
        <v>258.7</v>
      </c>
      <c r="AQ21">
        <v>0</v>
      </c>
      <c r="AR21">
        <v>1</v>
      </c>
      <c r="AS21">
        <v>3</v>
      </c>
      <c r="AT21">
        <v>4</v>
      </c>
      <c r="AU21" s="45">
        <v>0</v>
      </c>
      <c r="AV21" s="45">
        <v>137.8</v>
      </c>
      <c r="AW21" s="45">
        <v>85.5</v>
      </c>
      <c r="AX21" s="45">
        <v>223.3</v>
      </c>
      <c r="AY21">
        <v>0</v>
      </c>
      <c r="AZ21">
        <v>0</v>
      </c>
      <c r="BA21">
        <v>1</v>
      </c>
      <c r="BB21">
        <v>1</v>
      </c>
      <c r="BC21" s="45">
        <v>0</v>
      </c>
      <c r="BD21" s="45">
        <v>0</v>
      </c>
      <c r="BE21" s="45">
        <v>15</v>
      </c>
      <c r="BF21" s="45">
        <v>15</v>
      </c>
      <c r="BG21">
        <v>0</v>
      </c>
      <c r="BH21">
        <v>0</v>
      </c>
      <c r="BI21">
        <v>4</v>
      </c>
      <c r="BJ21">
        <v>4</v>
      </c>
      <c r="BK21" s="45">
        <v>0</v>
      </c>
      <c r="BL21" s="45">
        <v>0</v>
      </c>
      <c r="BM21" s="45">
        <v>406.6</v>
      </c>
      <c r="BN21" s="45">
        <v>406.6</v>
      </c>
      <c r="BO21">
        <v>240</v>
      </c>
      <c r="BP21">
        <v>164</v>
      </c>
      <c r="BQ21">
        <v>116</v>
      </c>
      <c r="BR21">
        <v>520</v>
      </c>
      <c r="BS21" s="45">
        <v>372.1</v>
      </c>
      <c r="BT21" s="45">
        <v>568.2</v>
      </c>
      <c r="BU21" s="45">
        <v>1337.79</v>
      </c>
      <c r="BV21" s="45">
        <v>2278.09</v>
      </c>
      <c r="BW21">
        <v>167</v>
      </c>
      <c r="BX21">
        <v>120</v>
      </c>
      <c r="BY21">
        <v>43</v>
      </c>
      <c r="BZ21">
        <v>330</v>
      </c>
      <c r="CA21" s="45">
        <v>38.88</v>
      </c>
      <c r="CB21" s="45">
        <v>27.22</v>
      </c>
      <c r="CC21" s="45">
        <v>10.1</v>
      </c>
      <c r="CD21" s="45">
        <v>76.2</v>
      </c>
      <c r="CE21">
        <v>31</v>
      </c>
      <c r="CF21">
        <v>13</v>
      </c>
      <c r="CG21">
        <v>21</v>
      </c>
      <c r="CH21">
        <v>65</v>
      </c>
      <c r="CI21" s="45">
        <v>48.6</v>
      </c>
      <c r="CJ21" s="45">
        <v>26.1</v>
      </c>
      <c r="CK21" s="45">
        <v>47.4</v>
      </c>
      <c r="CL21" s="45">
        <v>122.1</v>
      </c>
      <c r="CM21">
        <v>10</v>
      </c>
      <c r="CN21">
        <v>7</v>
      </c>
      <c r="CO21">
        <v>19</v>
      </c>
      <c r="CP21">
        <v>36</v>
      </c>
      <c r="CQ21" s="45">
        <v>51.7</v>
      </c>
      <c r="CR21" s="45">
        <v>30.7</v>
      </c>
      <c r="CS21" s="45">
        <v>113.5</v>
      </c>
      <c r="CT21" s="45">
        <v>195.9</v>
      </c>
      <c r="CU21">
        <v>9</v>
      </c>
      <c r="CV21">
        <v>8</v>
      </c>
      <c r="CW21">
        <v>17</v>
      </c>
      <c r="CX21">
        <v>34</v>
      </c>
      <c r="CY21" s="45">
        <v>114</v>
      </c>
      <c r="CZ21" s="45">
        <v>181.5</v>
      </c>
      <c r="DA21" s="45">
        <v>378.6</v>
      </c>
      <c r="DB21" s="45">
        <v>674.1</v>
      </c>
      <c r="DC21">
        <v>2</v>
      </c>
      <c r="DD21">
        <v>0</v>
      </c>
      <c r="DE21">
        <v>7</v>
      </c>
      <c r="DF21">
        <v>9</v>
      </c>
      <c r="DG21" s="45">
        <v>56</v>
      </c>
      <c r="DH21" s="45">
        <v>0</v>
      </c>
      <c r="DI21" s="45">
        <v>139.4</v>
      </c>
      <c r="DJ21" s="45">
        <v>195.4</v>
      </c>
      <c r="DK21">
        <v>0</v>
      </c>
      <c r="DL21">
        <v>1</v>
      </c>
      <c r="DM21">
        <v>1</v>
      </c>
      <c r="DN21">
        <v>2</v>
      </c>
      <c r="DO21" s="45">
        <v>0</v>
      </c>
      <c r="DP21" s="45">
        <v>99.4</v>
      </c>
      <c r="DQ21" s="45">
        <v>13.7</v>
      </c>
      <c r="DR21" s="45">
        <v>113.1</v>
      </c>
      <c r="DS21">
        <v>0</v>
      </c>
      <c r="DT21">
        <v>0</v>
      </c>
      <c r="DU21">
        <v>1</v>
      </c>
      <c r="DV21">
        <v>1</v>
      </c>
      <c r="DW21" s="45">
        <v>0</v>
      </c>
      <c r="DX21" s="45">
        <v>0</v>
      </c>
      <c r="DY21" s="45">
        <v>13.7</v>
      </c>
      <c r="DZ21" s="45">
        <v>13.7</v>
      </c>
      <c r="EA21">
        <v>0</v>
      </c>
      <c r="EB21">
        <v>0</v>
      </c>
      <c r="EC21">
        <v>4</v>
      </c>
      <c r="ED21">
        <v>4</v>
      </c>
      <c r="EE21">
        <v>0</v>
      </c>
      <c r="EF21" s="45">
        <v>0</v>
      </c>
      <c r="EG21" s="45">
        <v>257.9</v>
      </c>
      <c r="EH21" s="45">
        <v>257.9</v>
      </c>
      <c r="EI21">
        <v>219</v>
      </c>
      <c r="EJ21">
        <v>149</v>
      </c>
      <c r="EK21">
        <v>113</v>
      </c>
      <c r="EL21">
        <v>481</v>
      </c>
      <c r="EM21" s="45">
        <v>309.18</v>
      </c>
      <c r="EN21" s="45">
        <v>364.92</v>
      </c>
      <c r="EO21" s="45">
        <v>974.3</v>
      </c>
      <c r="EP21">
        <v>1648.4</v>
      </c>
    </row>
    <row r="22" spans="1:146" ht="9">
      <c r="A22" s="50" t="s">
        <v>97</v>
      </c>
      <c r="B22" s="54">
        <v>320</v>
      </c>
      <c r="C22" s="54">
        <v>7205</v>
      </c>
      <c r="D22" s="54">
        <v>1317</v>
      </c>
      <c r="E22" s="54">
        <v>228</v>
      </c>
      <c r="F22" s="54">
        <v>8750</v>
      </c>
      <c r="G22" s="55">
        <v>1733.14</v>
      </c>
      <c r="H22" s="55">
        <v>350.74</v>
      </c>
      <c r="I22" s="55">
        <v>59.58</v>
      </c>
      <c r="J22" s="55">
        <v>2143.46</v>
      </c>
      <c r="K22" s="54">
        <v>905</v>
      </c>
      <c r="L22" s="54">
        <v>286</v>
      </c>
      <c r="M22" s="54">
        <v>107</v>
      </c>
      <c r="N22" s="54">
        <v>1298</v>
      </c>
      <c r="O22" s="55">
        <v>1663.9</v>
      </c>
      <c r="P22" s="55">
        <v>597.8</v>
      </c>
      <c r="Q22" s="55">
        <v>225.84</v>
      </c>
      <c r="R22" s="55">
        <v>2487.54</v>
      </c>
      <c r="S22" s="54">
        <v>128</v>
      </c>
      <c r="T22" s="54">
        <v>67</v>
      </c>
      <c r="U22" s="54">
        <v>105</v>
      </c>
      <c r="V22" s="54">
        <v>300</v>
      </c>
      <c r="W22" s="55">
        <v>638.1</v>
      </c>
      <c r="X22" s="55">
        <v>390.9</v>
      </c>
      <c r="Y22" s="55">
        <v>596.4</v>
      </c>
      <c r="Z22" s="55">
        <v>1625.4</v>
      </c>
      <c r="AA22" s="54">
        <v>112</v>
      </c>
      <c r="AB22" s="54">
        <v>40</v>
      </c>
      <c r="AC22" s="54">
        <v>165</v>
      </c>
      <c r="AD22" s="54">
        <v>317</v>
      </c>
      <c r="AE22" s="55">
        <v>2302.4</v>
      </c>
      <c r="AF22" s="55">
        <v>956.1</v>
      </c>
      <c r="AG22" s="55">
        <v>3829.3</v>
      </c>
      <c r="AH22" s="55">
        <v>7087.8</v>
      </c>
      <c r="AI22" s="54">
        <v>81</v>
      </c>
      <c r="AJ22" s="54">
        <v>16</v>
      </c>
      <c r="AK22" s="54">
        <v>74</v>
      </c>
      <c r="AL22" s="54">
        <v>171</v>
      </c>
      <c r="AM22" s="55">
        <v>1158</v>
      </c>
      <c r="AN22" s="55">
        <v>246.9</v>
      </c>
      <c r="AO22" s="55">
        <v>1514</v>
      </c>
      <c r="AP22" s="55">
        <v>2918.9</v>
      </c>
      <c r="AQ22" s="54">
        <v>35</v>
      </c>
      <c r="AR22" s="54">
        <v>15</v>
      </c>
      <c r="AS22" s="54">
        <v>45</v>
      </c>
      <c r="AT22" s="54">
        <v>95</v>
      </c>
      <c r="AU22" s="55">
        <v>436.7</v>
      </c>
      <c r="AV22" s="55">
        <v>301.7</v>
      </c>
      <c r="AW22" s="55">
        <v>1515.8</v>
      </c>
      <c r="AX22" s="55">
        <v>2254.2</v>
      </c>
      <c r="AY22" s="54">
        <v>57</v>
      </c>
      <c r="AZ22" s="54">
        <v>12</v>
      </c>
      <c r="BA22" s="54">
        <v>18</v>
      </c>
      <c r="BB22" s="54">
        <v>87</v>
      </c>
      <c r="BC22" s="55">
        <v>499.2</v>
      </c>
      <c r="BD22" s="55">
        <v>42.9</v>
      </c>
      <c r="BE22" s="55">
        <v>198.9</v>
      </c>
      <c r="BF22" s="55">
        <v>741</v>
      </c>
      <c r="BG22" s="54">
        <v>12</v>
      </c>
      <c r="BH22" s="54">
        <v>5</v>
      </c>
      <c r="BI22" s="54">
        <v>48</v>
      </c>
      <c r="BJ22" s="54">
        <v>65</v>
      </c>
      <c r="BK22" s="55">
        <v>940.6</v>
      </c>
      <c r="BL22" s="55">
        <v>552.2</v>
      </c>
      <c r="BM22" s="55">
        <v>4071.2</v>
      </c>
      <c r="BN22" s="55">
        <v>5564</v>
      </c>
      <c r="BO22" s="54">
        <v>8535</v>
      </c>
      <c r="BP22" s="54">
        <v>1758</v>
      </c>
      <c r="BQ22" s="54">
        <v>790</v>
      </c>
      <c r="BR22" s="54">
        <v>11083</v>
      </c>
      <c r="BS22" s="55">
        <v>9372.04</v>
      </c>
      <c r="BT22" s="55">
        <v>3439.24</v>
      </c>
      <c r="BU22" s="55">
        <v>12011.02</v>
      </c>
      <c r="BV22" s="55">
        <v>24822.3</v>
      </c>
      <c r="BW22" s="54">
        <v>6936</v>
      </c>
      <c r="BX22" s="54">
        <v>1228</v>
      </c>
      <c r="BY22" s="54">
        <v>220</v>
      </c>
      <c r="BZ22" s="54">
        <v>8384</v>
      </c>
      <c r="CA22" s="55">
        <v>1641.16</v>
      </c>
      <c r="CB22" s="55">
        <v>320.04</v>
      </c>
      <c r="CC22" s="55">
        <v>55.59</v>
      </c>
      <c r="CD22" s="55">
        <v>2016.79</v>
      </c>
      <c r="CE22" s="54">
        <v>835</v>
      </c>
      <c r="CF22" s="54">
        <v>260</v>
      </c>
      <c r="CG22" s="54">
        <v>99</v>
      </c>
      <c r="CH22" s="54">
        <v>1194</v>
      </c>
      <c r="CI22" s="55">
        <v>1454.65</v>
      </c>
      <c r="CJ22" s="55">
        <v>529</v>
      </c>
      <c r="CK22" s="55">
        <v>188.34</v>
      </c>
      <c r="CL22" s="55">
        <v>2171.99</v>
      </c>
      <c r="CM22" s="54">
        <v>124</v>
      </c>
      <c r="CN22" s="54">
        <v>64</v>
      </c>
      <c r="CO22" s="54">
        <v>103</v>
      </c>
      <c r="CP22" s="54">
        <v>291</v>
      </c>
      <c r="CQ22" s="55">
        <v>592.2</v>
      </c>
      <c r="CR22" s="55">
        <v>338.8</v>
      </c>
      <c r="CS22" s="55">
        <v>536.8</v>
      </c>
      <c r="CT22" s="55">
        <v>1467.8</v>
      </c>
      <c r="CU22" s="54">
        <v>108</v>
      </c>
      <c r="CV22" s="54">
        <v>38</v>
      </c>
      <c r="CW22" s="54">
        <v>159</v>
      </c>
      <c r="CX22" s="54">
        <v>305</v>
      </c>
      <c r="CY22" s="55">
        <v>1764.12</v>
      </c>
      <c r="CZ22" s="55">
        <v>745.8</v>
      </c>
      <c r="DA22" s="55">
        <v>2688.3</v>
      </c>
      <c r="DB22" s="55">
        <v>5198.22</v>
      </c>
      <c r="DC22" s="54">
        <v>78</v>
      </c>
      <c r="DD22" s="54">
        <v>13</v>
      </c>
      <c r="DE22" s="54">
        <v>72</v>
      </c>
      <c r="DF22" s="54">
        <v>163</v>
      </c>
      <c r="DG22" s="55">
        <v>979.33</v>
      </c>
      <c r="DH22" s="55">
        <v>184</v>
      </c>
      <c r="DI22" s="55">
        <v>1228.1</v>
      </c>
      <c r="DJ22" s="55">
        <v>2391.43</v>
      </c>
      <c r="DK22" s="54">
        <v>31</v>
      </c>
      <c r="DL22" s="54">
        <v>12</v>
      </c>
      <c r="DM22" s="54">
        <v>38</v>
      </c>
      <c r="DN22" s="54">
        <v>81</v>
      </c>
      <c r="DO22" s="55">
        <v>232.61</v>
      </c>
      <c r="DP22" s="55">
        <v>205</v>
      </c>
      <c r="DQ22" s="55">
        <v>967.1</v>
      </c>
      <c r="DR22" s="55">
        <v>1404.71</v>
      </c>
      <c r="DS22" s="54">
        <v>54</v>
      </c>
      <c r="DT22" s="54">
        <v>11</v>
      </c>
      <c r="DU22" s="54">
        <v>17</v>
      </c>
      <c r="DV22" s="54">
        <v>82</v>
      </c>
      <c r="DW22" s="55">
        <v>398.3</v>
      </c>
      <c r="DX22" s="55">
        <v>26.5</v>
      </c>
      <c r="DY22" s="55">
        <v>140.1</v>
      </c>
      <c r="DZ22" s="55">
        <v>564.9</v>
      </c>
      <c r="EA22" s="54">
        <v>12</v>
      </c>
      <c r="EB22" s="54">
        <v>5</v>
      </c>
      <c r="EC22" s="54">
        <v>46</v>
      </c>
      <c r="ED22" s="54">
        <v>63</v>
      </c>
      <c r="EE22" s="54">
        <v>736.1</v>
      </c>
      <c r="EF22" s="55">
        <v>348.9</v>
      </c>
      <c r="EG22" s="55">
        <v>2644.4</v>
      </c>
      <c r="EH22" s="55">
        <v>3729.4</v>
      </c>
      <c r="EI22" s="54">
        <v>8178</v>
      </c>
      <c r="EJ22" s="54">
        <v>1631</v>
      </c>
      <c r="EK22" s="54">
        <v>754</v>
      </c>
      <c r="EL22" s="54">
        <v>10563</v>
      </c>
      <c r="EM22" s="55">
        <v>7798.47</v>
      </c>
      <c r="EN22" s="55">
        <v>2698.04</v>
      </c>
      <c r="EO22" s="55">
        <v>8448.73</v>
      </c>
      <c r="EP22" s="54">
        <v>18945.24</v>
      </c>
    </row>
    <row r="23" spans="1:146" ht="9">
      <c r="A23" s="56" t="s">
        <v>41</v>
      </c>
      <c r="B23">
        <v>23</v>
      </c>
      <c r="C23">
        <v>355</v>
      </c>
      <c r="D23">
        <v>133</v>
      </c>
      <c r="E23">
        <v>21</v>
      </c>
      <c r="F23">
        <v>509</v>
      </c>
      <c r="G23" s="45">
        <v>87.23</v>
      </c>
      <c r="H23" s="45">
        <v>31.6</v>
      </c>
      <c r="I23" s="45">
        <v>4.67</v>
      </c>
      <c r="J23" s="45">
        <v>123.5</v>
      </c>
      <c r="K23">
        <v>27</v>
      </c>
      <c r="L23">
        <v>24</v>
      </c>
      <c r="M23">
        <v>6</v>
      </c>
      <c r="N23">
        <v>57</v>
      </c>
      <c r="O23" s="45">
        <v>40.5</v>
      </c>
      <c r="P23" s="45">
        <v>32</v>
      </c>
      <c r="Q23" s="45">
        <v>11.1</v>
      </c>
      <c r="R23" s="45">
        <v>83.6</v>
      </c>
      <c r="S23">
        <v>7</v>
      </c>
      <c r="T23">
        <v>5</v>
      </c>
      <c r="U23">
        <v>8</v>
      </c>
      <c r="V23">
        <v>20</v>
      </c>
      <c r="W23" s="45">
        <v>33.9</v>
      </c>
      <c r="X23" s="45">
        <v>21.5</v>
      </c>
      <c r="Y23" s="45">
        <v>50.6</v>
      </c>
      <c r="Z23" s="45">
        <v>106</v>
      </c>
      <c r="AA23">
        <v>5</v>
      </c>
      <c r="AB23">
        <v>5</v>
      </c>
      <c r="AC23">
        <v>21</v>
      </c>
      <c r="AD23">
        <v>31</v>
      </c>
      <c r="AE23" s="45">
        <v>143.7</v>
      </c>
      <c r="AF23" s="45">
        <v>136.3</v>
      </c>
      <c r="AG23" s="45">
        <v>681.9</v>
      </c>
      <c r="AH23" s="45">
        <v>961.9</v>
      </c>
      <c r="AI23">
        <v>4</v>
      </c>
      <c r="AJ23">
        <v>1</v>
      </c>
      <c r="AK23">
        <v>13</v>
      </c>
      <c r="AL23">
        <v>18</v>
      </c>
      <c r="AM23" s="45">
        <v>32.3</v>
      </c>
      <c r="AN23" s="45">
        <v>34.1</v>
      </c>
      <c r="AO23" s="45">
        <v>202.3</v>
      </c>
      <c r="AP23" s="45">
        <v>268.7</v>
      </c>
      <c r="AQ23">
        <v>0</v>
      </c>
      <c r="AR23">
        <v>0</v>
      </c>
      <c r="AS23">
        <v>0</v>
      </c>
      <c r="AT23">
        <v>0</v>
      </c>
      <c r="AU23" s="45">
        <v>0</v>
      </c>
      <c r="AV23" s="45">
        <v>0</v>
      </c>
      <c r="AW23" s="45">
        <v>0</v>
      </c>
      <c r="AX23" s="45">
        <v>0</v>
      </c>
      <c r="AY23">
        <v>2</v>
      </c>
      <c r="AZ23">
        <v>2</v>
      </c>
      <c r="BA23">
        <v>1</v>
      </c>
      <c r="BB23">
        <v>5</v>
      </c>
      <c r="BC23" s="45">
        <v>1.3</v>
      </c>
      <c r="BD23" s="45">
        <v>6.2</v>
      </c>
      <c r="BE23" s="45">
        <v>30.4</v>
      </c>
      <c r="BF23" s="45">
        <v>37.9</v>
      </c>
      <c r="BG23">
        <v>1</v>
      </c>
      <c r="BH23">
        <v>0</v>
      </c>
      <c r="BI23">
        <v>9</v>
      </c>
      <c r="BJ23">
        <v>10</v>
      </c>
      <c r="BK23" s="45">
        <v>287.4</v>
      </c>
      <c r="BL23" s="45">
        <v>0</v>
      </c>
      <c r="BM23" s="45">
        <v>645.1</v>
      </c>
      <c r="BN23" s="45">
        <v>932.5</v>
      </c>
      <c r="BO23">
        <v>401</v>
      </c>
      <c r="BP23">
        <v>170</v>
      </c>
      <c r="BQ23">
        <v>79</v>
      </c>
      <c r="BR23">
        <v>650</v>
      </c>
      <c r="BS23" s="45">
        <v>626.33</v>
      </c>
      <c r="BT23" s="45">
        <v>261.7</v>
      </c>
      <c r="BU23" s="45">
        <v>1626.07</v>
      </c>
      <c r="BV23" s="45">
        <v>2514.1</v>
      </c>
      <c r="BW23">
        <v>330</v>
      </c>
      <c r="BX23">
        <v>115</v>
      </c>
      <c r="BY23">
        <v>16</v>
      </c>
      <c r="BZ23">
        <v>461</v>
      </c>
      <c r="CA23" s="45">
        <v>80.84</v>
      </c>
      <c r="CB23" s="45">
        <v>27.06</v>
      </c>
      <c r="CC23" s="45">
        <v>3.24</v>
      </c>
      <c r="CD23" s="45">
        <v>111.14</v>
      </c>
      <c r="CE23">
        <v>27</v>
      </c>
      <c r="CF23">
        <v>20</v>
      </c>
      <c r="CG23">
        <v>6</v>
      </c>
      <c r="CH23">
        <v>53</v>
      </c>
      <c r="CI23" s="45">
        <v>40.4</v>
      </c>
      <c r="CJ23" s="45">
        <v>28.7</v>
      </c>
      <c r="CK23" s="45">
        <v>10.7</v>
      </c>
      <c r="CL23" s="45">
        <v>79.8</v>
      </c>
      <c r="CM23">
        <v>7</v>
      </c>
      <c r="CN23">
        <v>5</v>
      </c>
      <c r="CO23">
        <v>7</v>
      </c>
      <c r="CP23">
        <v>19</v>
      </c>
      <c r="CQ23" s="45">
        <v>33.9</v>
      </c>
      <c r="CR23" s="45">
        <v>21.5</v>
      </c>
      <c r="CS23" s="45">
        <v>43.1</v>
      </c>
      <c r="CT23" s="45">
        <v>98.5</v>
      </c>
      <c r="CU23">
        <v>5</v>
      </c>
      <c r="CV23">
        <v>5</v>
      </c>
      <c r="CW23">
        <v>20</v>
      </c>
      <c r="CX23">
        <v>30</v>
      </c>
      <c r="CY23" s="45">
        <v>136.2</v>
      </c>
      <c r="CZ23" s="45">
        <v>117.9</v>
      </c>
      <c r="DA23" s="45">
        <v>538.4</v>
      </c>
      <c r="DB23" s="45">
        <v>792.5</v>
      </c>
      <c r="DC23">
        <v>4</v>
      </c>
      <c r="DD23">
        <v>1</v>
      </c>
      <c r="DE23">
        <v>13</v>
      </c>
      <c r="DF23">
        <v>18</v>
      </c>
      <c r="DG23" s="45">
        <v>32.3</v>
      </c>
      <c r="DH23" s="45">
        <v>3.1</v>
      </c>
      <c r="DI23" s="45">
        <v>172.5</v>
      </c>
      <c r="DJ23" s="45">
        <v>207.9</v>
      </c>
      <c r="DK23">
        <v>0</v>
      </c>
      <c r="DL23">
        <v>0</v>
      </c>
      <c r="DM23">
        <v>0</v>
      </c>
      <c r="DN23">
        <v>0</v>
      </c>
      <c r="DO23" s="45">
        <v>0</v>
      </c>
      <c r="DP23" s="45">
        <v>0</v>
      </c>
      <c r="DQ23" s="45">
        <v>0</v>
      </c>
      <c r="DR23" s="45">
        <v>0</v>
      </c>
      <c r="DS23">
        <v>2</v>
      </c>
      <c r="DT23">
        <v>1</v>
      </c>
      <c r="DU23">
        <v>1</v>
      </c>
      <c r="DV23">
        <v>4</v>
      </c>
      <c r="DW23" s="45">
        <v>0.7</v>
      </c>
      <c r="DX23" s="45">
        <v>0.9</v>
      </c>
      <c r="DY23" s="45">
        <v>30.4</v>
      </c>
      <c r="DZ23" s="45">
        <v>32</v>
      </c>
      <c r="EA23">
        <v>1</v>
      </c>
      <c r="EB23">
        <v>0</v>
      </c>
      <c r="EC23">
        <v>9</v>
      </c>
      <c r="ED23">
        <v>10</v>
      </c>
      <c r="EE23">
        <v>86.2</v>
      </c>
      <c r="EF23" s="45">
        <v>0</v>
      </c>
      <c r="EG23" s="45">
        <v>484.1</v>
      </c>
      <c r="EH23" s="45">
        <v>570.3</v>
      </c>
      <c r="EI23">
        <v>376</v>
      </c>
      <c r="EJ23">
        <v>147</v>
      </c>
      <c r="EK23">
        <v>72</v>
      </c>
      <c r="EL23">
        <v>595</v>
      </c>
      <c r="EM23" s="45">
        <v>410.54</v>
      </c>
      <c r="EN23" s="45">
        <v>199.16</v>
      </c>
      <c r="EO23" s="45">
        <v>1282.44</v>
      </c>
      <c r="EP23">
        <v>1892.14</v>
      </c>
    </row>
    <row r="24" spans="1:146" ht="9">
      <c r="A24" s="56" t="s">
        <v>42</v>
      </c>
      <c r="B24">
        <v>14</v>
      </c>
      <c r="C24">
        <v>155</v>
      </c>
      <c r="D24">
        <v>58</v>
      </c>
      <c r="E24">
        <v>31</v>
      </c>
      <c r="F24">
        <v>244</v>
      </c>
      <c r="G24" s="45">
        <v>31.65</v>
      </c>
      <c r="H24" s="45">
        <v>15.53</v>
      </c>
      <c r="I24" s="45">
        <v>8.13</v>
      </c>
      <c r="J24" s="45">
        <v>55.31</v>
      </c>
      <c r="K24">
        <v>20</v>
      </c>
      <c r="L24">
        <v>13</v>
      </c>
      <c r="M24">
        <v>6</v>
      </c>
      <c r="N24">
        <v>39</v>
      </c>
      <c r="O24" s="45">
        <v>39.1</v>
      </c>
      <c r="P24" s="45">
        <v>29.1</v>
      </c>
      <c r="Q24" s="45">
        <v>14.7</v>
      </c>
      <c r="R24" s="45">
        <v>82.9</v>
      </c>
      <c r="S24">
        <v>5</v>
      </c>
      <c r="T24">
        <v>6</v>
      </c>
      <c r="U24">
        <v>9</v>
      </c>
      <c r="V24">
        <v>20</v>
      </c>
      <c r="W24" s="45">
        <v>26.2</v>
      </c>
      <c r="X24" s="45">
        <v>30.5</v>
      </c>
      <c r="Y24" s="45">
        <v>45.9</v>
      </c>
      <c r="Z24" s="45">
        <v>102.6</v>
      </c>
      <c r="AA24">
        <v>5</v>
      </c>
      <c r="AB24">
        <v>5</v>
      </c>
      <c r="AC24">
        <v>12</v>
      </c>
      <c r="AD24">
        <v>22</v>
      </c>
      <c r="AE24" s="45">
        <v>68.7</v>
      </c>
      <c r="AF24" s="45">
        <v>157.3</v>
      </c>
      <c r="AG24" s="45">
        <v>843.3</v>
      </c>
      <c r="AH24" s="45">
        <v>1069.3</v>
      </c>
      <c r="AI24">
        <v>3</v>
      </c>
      <c r="AJ24">
        <v>1</v>
      </c>
      <c r="AK24">
        <v>10</v>
      </c>
      <c r="AL24">
        <v>14</v>
      </c>
      <c r="AM24" s="45">
        <v>45.6</v>
      </c>
      <c r="AN24" s="45">
        <v>64.5</v>
      </c>
      <c r="AO24" s="45">
        <v>195.7</v>
      </c>
      <c r="AP24" s="45">
        <v>305.8</v>
      </c>
      <c r="AQ24">
        <v>4</v>
      </c>
      <c r="AR24">
        <v>0</v>
      </c>
      <c r="AS24">
        <v>2</v>
      </c>
      <c r="AT24">
        <v>6</v>
      </c>
      <c r="AU24" s="45">
        <v>26.5</v>
      </c>
      <c r="AV24" s="45">
        <v>0</v>
      </c>
      <c r="AW24" s="45">
        <v>25.2</v>
      </c>
      <c r="AX24" s="45">
        <v>51.7</v>
      </c>
      <c r="AY24">
        <v>1</v>
      </c>
      <c r="AZ24">
        <v>1</v>
      </c>
      <c r="BA24">
        <v>1</v>
      </c>
      <c r="BB24">
        <v>3</v>
      </c>
      <c r="BC24" s="45">
        <v>1.7</v>
      </c>
      <c r="BD24" s="45">
        <v>0.6</v>
      </c>
      <c r="BE24" s="45">
        <v>5.1</v>
      </c>
      <c r="BF24" s="45">
        <v>7.4</v>
      </c>
      <c r="BG24">
        <v>0</v>
      </c>
      <c r="BH24">
        <v>0</v>
      </c>
      <c r="BI24">
        <v>1</v>
      </c>
      <c r="BJ24">
        <v>1</v>
      </c>
      <c r="BK24" s="45">
        <v>0</v>
      </c>
      <c r="BL24" s="45">
        <v>0</v>
      </c>
      <c r="BM24" s="45">
        <v>118.1</v>
      </c>
      <c r="BN24" s="45">
        <v>118.1</v>
      </c>
      <c r="BO24">
        <v>193</v>
      </c>
      <c r="BP24">
        <v>84</v>
      </c>
      <c r="BQ24">
        <v>72</v>
      </c>
      <c r="BR24">
        <v>349</v>
      </c>
      <c r="BS24" s="45">
        <v>239.45</v>
      </c>
      <c r="BT24" s="45">
        <v>297.53</v>
      </c>
      <c r="BU24" s="45">
        <v>1256.13</v>
      </c>
      <c r="BV24" s="45">
        <v>1793.11</v>
      </c>
      <c r="BW24">
        <v>148</v>
      </c>
      <c r="BX24">
        <v>54</v>
      </c>
      <c r="BY24">
        <v>30</v>
      </c>
      <c r="BZ24">
        <v>232</v>
      </c>
      <c r="CA24" s="45">
        <v>30.62</v>
      </c>
      <c r="CB24" s="45">
        <v>14.56</v>
      </c>
      <c r="CC24" s="45">
        <v>8.2</v>
      </c>
      <c r="CD24" s="45">
        <v>53.38</v>
      </c>
      <c r="CE24">
        <v>18</v>
      </c>
      <c r="CF24">
        <v>8</v>
      </c>
      <c r="CG24">
        <v>5</v>
      </c>
      <c r="CH24">
        <v>31</v>
      </c>
      <c r="CI24" s="45">
        <v>28.7</v>
      </c>
      <c r="CJ24" s="45">
        <v>18.8</v>
      </c>
      <c r="CK24" s="45">
        <v>11.2</v>
      </c>
      <c r="CL24" s="45">
        <v>58.7</v>
      </c>
      <c r="CM24">
        <v>5</v>
      </c>
      <c r="CN24">
        <v>5</v>
      </c>
      <c r="CO24">
        <v>8</v>
      </c>
      <c r="CP24">
        <v>18</v>
      </c>
      <c r="CQ24" s="45">
        <v>20</v>
      </c>
      <c r="CR24" s="45">
        <v>23.7</v>
      </c>
      <c r="CS24" s="45">
        <v>42.8</v>
      </c>
      <c r="CT24" s="45">
        <v>86.5</v>
      </c>
      <c r="CU24">
        <v>6</v>
      </c>
      <c r="CV24">
        <v>4</v>
      </c>
      <c r="CW24">
        <v>11</v>
      </c>
      <c r="CX24">
        <v>21</v>
      </c>
      <c r="CY24" s="45">
        <v>63.4</v>
      </c>
      <c r="CZ24" s="45">
        <v>46</v>
      </c>
      <c r="DA24" s="45">
        <v>281.91</v>
      </c>
      <c r="DB24" s="45">
        <v>391.31</v>
      </c>
      <c r="DC24">
        <v>3</v>
      </c>
      <c r="DD24">
        <v>1</v>
      </c>
      <c r="DE24">
        <v>10</v>
      </c>
      <c r="DF24">
        <v>14</v>
      </c>
      <c r="DG24" s="45">
        <v>47.1</v>
      </c>
      <c r="DH24" s="45">
        <v>28.4</v>
      </c>
      <c r="DI24" s="45">
        <v>203.5</v>
      </c>
      <c r="DJ24" s="45">
        <v>279</v>
      </c>
      <c r="DK24">
        <v>3</v>
      </c>
      <c r="DL24">
        <v>0</v>
      </c>
      <c r="DM24">
        <v>2</v>
      </c>
      <c r="DN24">
        <v>5</v>
      </c>
      <c r="DO24" s="45">
        <v>24</v>
      </c>
      <c r="DP24" s="45">
        <v>0</v>
      </c>
      <c r="DQ24" s="45">
        <v>25.2</v>
      </c>
      <c r="DR24" s="45">
        <v>49.2</v>
      </c>
      <c r="DS24">
        <v>1</v>
      </c>
      <c r="DT24">
        <v>1</v>
      </c>
      <c r="DU24">
        <v>1</v>
      </c>
      <c r="DV24">
        <v>3</v>
      </c>
      <c r="DW24" s="45">
        <v>1.6</v>
      </c>
      <c r="DX24" s="45">
        <v>0.1</v>
      </c>
      <c r="DY24" s="45">
        <v>5.1</v>
      </c>
      <c r="DZ24" s="45">
        <v>6.8</v>
      </c>
      <c r="EA24">
        <v>0</v>
      </c>
      <c r="EB24">
        <v>0</v>
      </c>
      <c r="EC24">
        <v>1</v>
      </c>
      <c r="ED24">
        <v>1</v>
      </c>
      <c r="EE24">
        <v>0</v>
      </c>
      <c r="EF24" s="45">
        <v>0</v>
      </c>
      <c r="EG24" s="45">
        <v>95.9</v>
      </c>
      <c r="EH24" s="45">
        <v>95.9</v>
      </c>
      <c r="EI24">
        <v>184</v>
      </c>
      <c r="EJ24">
        <v>73</v>
      </c>
      <c r="EK24">
        <v>68</v>
      </c>
      <c r="EL24">
        <v>325</v>
      </c>
      <c r="EM24" s="45">
        <v>215.42</v>
      </c>
      <c r="EN24" s="45">
        <v>131.56</v>
      </c>
      <c r="EO24" s="45">
        <v>673.81</v>
      </c>
      <c r="EP24">
        <v>1020.79</v>
      </c>
    </row>
    <row r="25" spans="1:146" ht="9">
      <c r="A25" s="56" t="s">
        <v>43</v>
      </c>
      <c r="B25">
        <v>17</v>
      </c>
      <c r="C25">
        <v>272</v>
      </c>
      <c r="D25">
        <v>60</v>
      </c>
      <c r="E25">
        <v>50</v>
      </c>
      <c r="F25">
        <v>382</v>
      </c>
      <c r="G25" s="45">
        <v>72.18</v>
      </c>
      <c r="H25" s="45">
        <v>15.95</v>
      </c>
      <c r="I25" s="45">
        <v>13.5</v>
      </c>
      <c r="J25" s="45">
        <v>101.63</v>
      </c>
      <c r="K25">
        <v>13</v>
      </c>
      <c r="L25">
        <v>16</v>
      </c>
      <c r="M25">
        <v>10</v>
      </c>
      <c r="N25">
        <v>39</v>
      </c>
      <c r="O25" s="45">
        <v>20.7</v>
      </c>
      <c r="P25" s="45">
        <v>26.4</v>
      </c>
      <c r="Q25" s="45">
        <v>21.1</v>
      </c>
      <c r="R25" s="45">
        <v>68.2</v>
      </c>
      <c r="S25">
        <v>4</v>
      </c>
      <c r="T25">
        <v>4</v>
      </c>
      <c r="U25">
        <v>6</v>
      </c>
      <c r="V25">
        <v>14</v>
      </c>
      <c r="W25" s="45">
        <v>19</v>
      </c>
      <c r="X25" s="45">
        <v>16.3</v>
      </c>
      <c r="Y25" s="45">
        <v>27.6</v>
      </c>
      <c r="Z25" s="45">
        <v>62.9</v>
      </c>
      <c r="AA25">
        <v>2</v>
      </c>
      <c r="AB25">
        <v>3</v>
      </c>
      <c r="AC25">
        <v>17</v>
      </c>
      <c r="AD25">
        <v>22</v>
      </c>
      <c r="AE25" s="45">
        <v>36.8</v>
      </c>
      <c r="AF25" s="45">
        <v>21.6</v>
      </c>
      <c r="AG25" s="45">
        <v>491.1</v>
      </c>
      <c r="AH25" s="45">
        <v>549.5</v>
      </c>
      <c r="AI25">
        <v>3</v>
      </c>
      <c r="AJ25">
        <v>1</v>
      </c>
      <c r="AK25">
        <v>11</v>
      </c>
      <c r="AL25">
        <v>15</v>
      </c>
      <c r="AM25" s="45">
        <v>42.8</v>
      </c>
      <c r="AN25" s="45">
        <v>17.1</v>
      </c>
      <c r="AO25" s="45">
        <v>278.8</v>
      </c>
      <c r="AP25" s="45">
        <v>338.7</v>
      </c>
      <c r="AQ25">
        <v>1</v>
      </c>
      <c r="AR25">
        <v>0</v>
      </c>
      <c r="AS25">
        <v>3</v>
      </c>
      <c r="AT25">
        <v>4</v>
      </c>
      <c r="AU25" s="45">
        <v>7.9</v>
      </c>
      <c r="AV25" s="45">
        <v>0</v>
      </c>
      <c r="AW25" s="45">
        <v>25</v>
      </c>
      <c r="AX25" s="45">
        <v>32.9</v>
      </c>
      <c r="AY25">
        <v>1</v>
      </c>
      <c r="AZ25">
        <v>1</v>
      </c>
      <c r="BA25">
        <v>2</v>
      </c>
      <c r="BB25">
        <v>4</v>
      </c>
      <c r="BC25" s="45">
        <v>11.1</v>
      </c>
      <c r="BD25" s="45">
        <v>11.3</v>
      </c>
      <c r="BE25" s="45">
        <v>38.6</v>
      </c>
      <c r="BF25" s="45">
        <v>61</v>
      </c>
      <c r="BG25">
        <v>0</v>
      </c>
      <c r="BH25">
        <v>1</v>
      </c>
      <c r="BI25">
        <v>3</v>
      </c>
      <c r="BJ25">
        <v>4</v>
      </c>
      <c r="BK25" s="45">
        <v>0</v>
      </c>
      <c r="BL25" s="45">
        <v>50.4</v>
      </c>
      <c r="BM25" s="45">
        <v>382.8</v>
      </c>
      <c r="BN25" s="45">
        <v>433.2</v>
      </c>
      <c r="BO25">
        <v>296</v>
      </c>
      <c r="BP25">
        <v>86</v>
      </c>
      <c r="BQ25">
        <v>102</v>
      </c>
      <c r="BR25">
        <v>484</v>
      </c>
      <c r="BS25" s="45">
        <v>210.48</v>
      </c>
      <c r="BT25" s="45">
        <v>159.05</v>
      </c>
      <c r="BU25" s="45">
        <v>1278.5</v>
      </c>
      <c r="BV25" s="45">
        <v>1648.03</v>
      </c>
      <c r="BW25">
        <v>272</v>
      </c>
      <c r="BX25">
        <v>60</v>
      </c>
      <c r="BY25">
        <v>42</v>
      </c>
      <c r="BZ25">
        <v>374</v>
      </c>
      <c r="CA25" s="45">
        <v>71.58</v>
      </c>
      <c r="CB25" s="45">
        <v>16.04</v>
      </c>
      <c r="CC25" s="45">
        <v>10.06</v>
      </c>
      <c r="CD25" s="45">
        <v>97.68</v>
      </c>
      <c r="CE25">
        <v>13</v>
      </c>
      <c r="CF25">
        <v>14</v>
      </c>
      <c r="CG25">
        <v>7</v>
      </c>
      <c r="CH25">
        <v>34</v>
      </c>
      <c r="CI25" s="45">
        <v>20.3</v>
      </c>
      <c r="CJ25" s="45">
        <v>23.1</v>
      </c>
      <c r="CK25" s="45">
        <v>12</v>
      </c>
      <c r="CL25" s="45">
        <v>55.4</v>
      </c>
      <c r="CM25">
        <v>4</v>
      </c>
      <c r="CN25">
        <v>4</v>
      </c>
      <c r="CO25">
        <v>4</v>
      </c>
      <c r="CP25">
        <v>12</v>
      </c>
      <c r="CQ25" s="45">
        <v>18</v>
      </c>
      <c r="CR25" s="45">
        <v>13.5</v>
      </c>
      <c r="CS25" s="45">
        <v>24.7</v>
      </c>
      <c r="CT25" s="45">
        <v>56.2</v>
      </c>
      <c r="CU25">
        <v>2</v>
      </c>
      <c r="CV25">
        <v>3</v>
      </c>
      <c r="CW25">
        <v>16</v>
      </c>
      <c r="CX25">
        <v>21</v>
      </c>
      <c r="CY25" s="45">
        <v>30.7</v>
      </c>
      <c r="CZ25" s="45">
        <v>21.6</v>
      </c>
      <c r="DA25" s="45">
        <v>348</v>
      </c>
      <c r="DB25" s="45">
        <v>400.3</v>
      </c>
      <c r="DC25">
        <v>3</v>
      </c>
      <c r="DD25">
        <v>1</v>
      </c>
      <c r="DE25">
        <v>11</v>
      </c>
      <c r="DF25">
        <v>15</v>
      </c>
      <c r="DG25" s="45">
        <v>41.2</v>
      </c>
      <c r="DH25" s="45">
        <v>17.1</v>
      </c>
      <c r="DI25" s="45">
        <v>192.9</v>
      </c>
      <c r="DJ25" s="45">
        <v>251.2</v>
      </c>
      <c r="DK25">
        <v>1</v>
      </c>
      <c r="DL25">
        <v>0</v>
      </c>
      <c r="DM25">
        <v>2</v>
      </c>
      <c r="DN25">
        <v>3</v>
      </c>
      <c r="DO25" s="45">
        <v>7.9</v>
      </c>
      <c r="DP25" s="45">
        <v>0</v>
      </c>
      <c r="DQ25" s="45">
        <v>13.5</v>
      </c>
      <c r="DR25" s="45">
        <v>21.4</v>
      </c>
      <c r="DS25">
        <v>1</v>
      </c>
      <c r="DT25">
        <v>0</v>
      </c>
      <c r="DU25">
        <v>2</v>
      </c>
      <c r="DV25">
        <v>3</v>
      </c>
      <c r="DW25" s="45">
        <v>11.4</v>
      </c>
      <c r="DX25" s="45">
        <v>0</v>
      </c>
      <c r="DY25" s="45">
        <v>38.1</v>
      </c>
      <c r="DZ25" s="45">
        <v>49.5</v>
      </c>
      <c r="EA25">
        <v>0</v>
      </c>
      <c r="EB25">
        <v>1</v>
      </c>
      <c r="EC25">
        <v>3</v>
      </c>
      <c r="ED25">
        <v>4</v>
      </c>
      <c r="EE25">
        <v>0</v>
      </c>
      <c r="EF25" s="45">
        <v>47.1</v>
      </c>
      <c r="EG25" s="45">
        <v>77.3</v>
      </c>
      <c r="EH25" s="45">
        <v>124.4</v>
      </c>
      <c r="EI25">
        <v>296</v>
      </c>
      <c r="EJ25">
        <v>83</v>
      </c>
      <c r="EK25">
        <v>87</v>
      </c>
      <c r="EL25">
        <v>466</v>
      </c>
      <c r="EM25" s="45">
        <v>201.08</v>
      </c>
      <c r="EN25" s="45">
        <v>138.44</v>
      </c>
      <c r="EO25" s="45">
        <v>716.56</v>
      </c>
      <c r="EP25">
        <v>1056.08</v>
      </c>
    </row>
    <row r="26" spans="1:146" ht="9">
      <c r="A26" s="50" t="s">
        <v>98</v>
      </c>
      <c r="B26" s="57">
        <v>54</v>
      </c>
      <c r="C26" s="57">
        <v>782</v>
      </c>
      <c r="D26" s="57">
        <v>251</v>
      </c>
      <c r="E26" s="57">
        <v>102</v>
      </c>
      <c r="F26" s="57">
        <v>1135</v>
      </c>
      <c r="G26" s="58">
        <v>191.06</v>
      </c>
      <c r="H26" s="58">
        <v>63.08</v>
      </c>
      <c r="I26" s="58">
        <v>26.3</v>
      </c>
      <c r="J26" s="58">
        <v>280.44</v>
      </c>
      <c r="K26" s="57">
        <v>60</v>
      </c>
      <c r="L26" s="57">
        <v>53</v>
      </c>
      <c r="M26" s="57">
        <v>22</v>
      </c>
      <c r="N26" s="57">
        <v>135</v>
      </c>
      <c r="O26" s="58">
        <v>100.3</v>
      </c>
      <c r="P26" s="58">
        <v>87.5</v>
      </c>
      <c r="Q26" s="58">
        <v>46.9</v>
      </c>
      <c r="R26" s="58">
        <v>234.7</v>
      </c>
      <c r="S26" s="57">
        <v>16</v>
      </c>
      <c r="T26" s="57">
        <v>15</v>
      </c>
      <c r="U26" s="57">
        <v>23</v>
      </c>
      <c r="V26" s="57">
        <v>54</v>
      </c>
      <c r="W26" s="58">
        <v>79.1</v>
      </c>
      <c r="X26" s="58">
        <v>68.3</v>
      </c>
      <c r="Y26" s="58">
        <v>124.1</v>
      </c>
      <c r="Z26" s="58">
        <v>271.5</v>
      </c>
      <c r="AA26" s="57">
        <v>12</v>
      </c>
      <c r="AB26" s="57">
        <v>13</v>
      </c>
      <c r="AC26" s="57">
        <v>50</v>
      </c>
      <c r="AD26" s="57">
        <v>75</v>
      </c>
      <c r="AE26" s="58">
        <v>249.2</v>
      </c>
      <c r="AF26" s="58">
        <v>315.2</v>
      </c>
      <c r="AG26" s="58">
        <v>2016.3</v>
      </c>
      <c r="AH26" s="58">
        <v>2580.7</v>
      </c>
      <c r="AI26" s="57">
        <v>10</v>
      </c>
      <c r="AJ26" s="57">
        <v>3</v>
      </c>
      <c r="AK26" s="57">
        <v>34</v>
      </c>
      <c r="AL26" s="57">
        <v>47</v>
      </c>
      <c r="AM26" s="58">
        <v>120.7</v>
      </c>
      <c r="AN26" s="58">
        <v>115.7</v>
      </c>
      <c r="AO26" s="58">
        <v>676.8</v>
      </c>
      <c r="AP26" s="58">
        <v>913.2</v>
      </c>
      <c r="AQ26" s="57">
        <v>5</v>
      </c>
      <c r="AR26" s="57">
        <v>0</v>
      </c>
      <c r="AS26" s="57">
        <v>5</v>
      </c>
      <c r="AT26" s="57">
        <v>10</v>
      </c>
      <c r="AU26" s="58">
        <v>34.4</v>
      </c>
      <c r="AV26" s="58">
        <v>0</v>
      </c>
      <c r="AW26" s="58">
        <v>50.2</v>
      </c>
      <c r="AX26" s="58">
        <v>84.6</v>
      </c>
      <c r="AY26" s="57">
        <v>4</v>
      </c>
      <c r="AZ26" s="57">
        <v>4</v>
      </c>
      <c r="BA26" s="57">
        <v>4</v>
      </c>
      <c r="BB26" s="57">
        <v>12</v>
      </c>
      <c r="BC26" s="58">
        <v>14.1</v>
      </c>
      <c r="BD26" s="58">
        <v>18.1</v>
      </c>
      <c r="BE26" s="58">
        <v>74.1</v>
      </c>
      <c r="BF26" s="58">
        <v>106.3</v>
      </c>
      <c r="BG26" s="57">
        <v>1</v>
      </c>
      <c r="BH26" s="57">
        <v>1</v>
      </c>
      <c r="BI26" s="57">
        <v>13</v>
      </c>
      <c r="BJ26" s="57">
        <v>15</v>
      </c>
      <c r="BK26" s="58">
        <v>287.4</v>
      </c>
      <c r="BL26" s="58">
        <v>50.4</v>
      </c>
      <c r="BM26" s="58">
        <v>1146</v>
      </c>
      <c r="BN26" s="58">
        <v>1483.8</v>
      </c>
      <c r="BO26" s="57">
        <v>890</v>
      </c>
      <c r="BP26" s="57">
        <v>340</v>
      </c>
      <c r="BQ26" s="57">
        <v>253</v>
      </c>
      <c r="BR26" s="57">
        <v>1483</v>
      </c>
      <c r="BS26" s="58">
        <v>1076.26</v>
      </c>
      <c r="BT26" s="58">
        <v>718.28</v>
      </c>
      <c r="BU26" s="58">
        <v>4160.7</v>
      </c>
      <c r="BV26" s="58">
        <v>5955.24</v>
      </c>
      <c r="BW26" s="57">
        <v>750</v>
      </c>
      <c r="BX26" s="57">
        <v>229</v>
      </c>
      <c r="BY26" s="57">
        <v>88</v>
      </c>
      <c r="BZ26" s="57">
        <v>1067</v>
      </c>
      <c r="CA26" s="58">
        <v>183.04</v>
      </c>
      <c r="CB26" s="58">
        <v>57.66</v>
      </c>
      <c r="CC26" s="58">
        <v>21.5</v>
      </c>
      <c r="CD26" s="58">
        <v>262.2</v>
      </c>
      <c r="CE26" s="57">
        <v>58</v>
      </c>
      <c r="CF26" s="57">
        <v>42</v>
      </c>
      <c r="CG26" s="57">
        <v>18</v>
      </c>
      <c r="CH26" s="57">
        <v>118</v>
      </c>
      <c r="CI26" s="58">
        <v>89.4</v>
      </c>
      <c r="CJ26" s="58">
        <v>70.6</v>
      </c>
      <c r="CK26" s="58">
        <v>33.9</v>
      </c>
      <c r="CL26" s="58">
        <v>193.9</v>
      </c>
      <c r="CM26" s="57">
        <v>16</v>
      </c>
      <c r="CN26" s="57">
        <v>14</v>
      </c>
      <c r="CO26" s="57">
        <v>19</v>
      </c>
      <c r="CP26" s="57">
        <v>49</v>
      </c>
      <c r="CQ26" s="58">
        <v>71.9</v>
      </c>
      <c r="CR26" s="58">
        <v>58.7</v>
      </c>
      <c r="CS26" s="58">
        <v>110.6</v>
      </c>
      <c r="CT26" s="58">
        <v>241.2</v>
      </c>
      <c r="CU26" s="57">
        <v>13</v>
      </c>
      <c r="CV26" s="57">
        <v>12</v>
      </c>
      <c r="CW26" s="57">
        <v>47</v>
      </c>
      <c r="CX26" s="57">
        <v>72</v>
      </c>
      <c r="CY26" s="58">
        <v>230.3</v>
      </c>
      <c r="CZ26" s="58">
        <v>185.5</v>
      </c>
      <c r="DA26" s="58">
        <v>1168.31</v>
      </c>
      <c r="DB26" s="58">
        <v>1584.11</v>
      </c>
      <c r="DC26" s="57">
        <v>10</v>
      </c>
      <c r="DD26" s="57">
        <v>3</v>
      </c>
      <c r="DE26" s="57">
        <v>34</v>
      </c>
      <c r="DF26" s="57">
        <v>47</v>
      </c>
      <c r="DG26" s="58">
        <v>120.6</v>
      </c>
      <c r="DH26" s="58">
        <v>48.6</v>
      </c>
      <c r="DI26" s="58">
        <v>568.9</v>
      </c>
      <c r="DJ26" s="58">
        <v>738.1</v>
      </c>
      <c r="DK26" s="57">
        <v>4</v>
      </c>
      <c r="DL26" s="57">
        <v>0</v>
      </c>
      <c r="DM26" s="57">
        <v>4</v>
      </c>
      <c r="DN26" s="57">
        <v>8</v>
      </c>
      <c r="DO26" s="58">
        <v>31.9</v>
      </c>
      <c r="DP26" s="58">
        <v>0</v>
      </c>
      <c r="DQ26" s="58">
        <v>38.7</v>
      </c>
      <c r="DR26" s="58">
        <v>70.6</v>
      </c>
      <c r="DS26" s="57">
        <v>4</v>
      </c>
      <c r="DT26" s="57">
        <v>2</v>
      </c>
      <c r="DU26" s="57">
        <v>4</v>
      </c>
      <c r="DV26" s="57">
        <v>10</v>
      </c>
      <c r="DW26" s="58">
        <v>13.7</v>
      </c>
      <c r="DX26" s="58">
        <v>1</v>
      </c>
      <c r="DY26" s="58">
        <v>73.6</v>
      </c>
      <c r="DZ26" s="58">
        <v>88.3</v>
      </c>
      <c r="EA26" s="57">
        <v>1</v>
      </c>
      <c r="EB26" s="57">
        <v>1</v>
      </c>
      <c r="EC26" s="57">
        <v>13</v>
      </c>
      <c r="ED26" s="57">
        <v>15</v>
      </c>
      <c r="EE26" s="57">
        <v>86.2</v>
      </c>
      <c r="EF26" s="58">
        <v>47.1</v>
      </c>
      <c r="EG26" s="58">
        <v>657.3</v>
      </c>
      <c r="EH26" s="58">
        <v>790.6</v>
      </c>
      <c r="EI26" s="57">
        <v>856</v>
      </c>
      <c r="EJ26" s="57">
        <v>303</v>
      </c>
      <c r="EK26" s="57">
        <v>227</v>
      </c>
      <c r="EL26" s="57">
        <v>1386</v>
      </c>
      <c r="EM26" s="58">
        <v>827.04</v>
      </c>
      <c r="EN26" s="58">
        <v>469.16</v>
      </c>
      <c r="EO26" s="58">
        <v>2672.81</v>
      </c>
      <c r="EP26" s="57">
        <v>3969.01</v>
      </c>
    </row>
    <row r="27" spans="1:146" ht="9">
      <c r="A27" s="59" t="s">
        <v>44</v>
      </c>
      <c r="B27">
        <v>33</v>
      </c>
      <c r="C27">
        <v>302</v>
      </c>
      <c r="D27">
        <v>183</v>
      </c>
      <c r="E27">
        <v>30</v>
      </c>
      <c r="F27">
        <v>515</v>
      </c>
      <c r="G27" s="45">
        <v>66.2</v>
      </c>
      <c r="H27" s="45">
        <v>45.17</v>
      </c>
      <c r="I27" s="45">
        <v>5.55</v>
      </c>
      <c r="J27" s="45">
        <v>116.92</v>
      </c>
      <c r="K27">
        <v>23</v>
      </c>
      <c r="L27">
        <v>28</v>
      </c>
      <c r="M27">
        <v>4</v>
      </c>
      <c r="N27">
        <v>55</v>
      </c>
      <c r="O27" s="45">
        <v>37.3</v>
      </c>
      <c r="P27" s="45">
        <v>48.2</v>
      </c>
      <c r="Q27" s="45">
        <v>6.1</v>
      </c>
      <c r="R27" s="45">
        <v>91.6</v>
      </c>
      <c r="S27">
        <v>11</v>
      </c>
      <c r="T27">
        <v>7</v>
      </c>
      <c r="U27">
        <v>10</v>
      </c>
      <c r="V27">
        <v>28</v>
      </c>
      <c r="W27" s="45">
        <v>71.6</v>
      </c>
      <c r="X27" s="45">
        <v>34.7</v>
      </c>
      <c r="Y27" s="45">
        <v>57.1</v>
      </c>
      <c r="Z27" s="45">
        <v>163.4</v>
      </c>
      <c r="AA27">
        <v>1</v>
      </c>
      <c r="AB27">
        <v>3</v>
      </c>
      <c r="AC27">
        <v>9</v>
      </c>
      <c r="AD27">
        <v>13</v>
      </c>
      <c r="AE27" s="45">
        <v>16.7</v>
      </c>
      <c r="AF27" s="45">
        <v>44.7</v>
      </c>
      <c r="AG27" s="45">
        <v>271.6</v>
      </c>
      <c r="AH27" s="45">
        <v>333</v>
      </c>
      <c r="AI27">
        <v>2</v>
      </c>
      <c r="AJ27">
        <v>0</v>
      </c>
      <c r="AK27">
        <v>12</v>
      </c>
      <c r="AL27">
        <v>14</v>
      </c>
      <c r="AM27" s="45">
        <v>26.5</v>
      </c>
      <c r="AN27" s="45">
        <v>1.9</v>
      </c>
      <c r="AO27" s="45">
        <v>190.5</v>
      </c>
      <c r="AP27" s="45">
        <v>218.9</v>
      </c>
      <c r="AQ27">
        <v>1</v>
      </c>
      <c r="AR27">
        <v>0</v>
      </c>
      <c r="AS27">
        <v>4</v>
      </c>
      <c r="AT27">
        <v>5</v>
      </c>
      <c r="AU27" s="45">
        <v>0.2</v>
      </c>
      <c r="AV27" s="45">
        <v>0.7</v>
      </c>
      <c r="AW27" s="45">
        <v>58.7</v>
      </c>
      <c r="AX27" s="45">
        <v>59.6</v>
      </c>
      <c r="AY27">
        <v>0</v>
      </c>
      <c r="AZ27">
        <v>0</v>
      </c>
      <c r="BA27">
        <v>3</v>
      </c>
      <c r="BB27">
        <v>3</v>
      </c>
      <c r="BC27" s="45">
        <v>0</v>
      </c>
      <c r="BD27" s="45">
        <v>0</v>
      </c>
      <c r="BE27" s="45">
        <v>9.3</v>
      </c>
      <c r="BF27" s="45">
        <v>9.3</v>
      </c>
      <c r="BG27">
        <v>0</v>
      </c>
      <c r="BH27">
        <v>0</v>
      </c>
      <c r="BI27">
        <v>4</v>
      </c>
      <c r="BJ27">
        <v>4</v>
      </c>
      <c r="BK27" s="45">
        <v>0</v>
      </c>
      <c r="BL27" s="45">
        <v>0</v>
      </c>
      <c r="BM27" s="45">
        <v>418.8</v>
      </c>
      <c r="BN27" s="45">
        <v>418.8</v>
      </c>
      <c r="BO27">
        <v>340</v>
      </c>
      <c r="BP27">
        <v>221</v>
      </c>
      <c r="BQ27">
        <v>76</v>
      </c>
      <c r="BR27">
        <v>637</v>
      </c>
      <c r="BS27" s="45">
        <v>218.5</v>
      </c>
      <c r="BT27" s="45">
        <v>175.37</v>
      </c>
      <c r="BU27" s="45">
        <v>1017.65</v>
      </c>
      <c r="BV27" s="45">
        <v>1411.52</v>
      </c>
      <c r="BW27">
        <v>300</v>
      </c>
      <c r="BX27">
        <v>183</v>
      </c>
      <c r="BY27">
        <v>30</v>
      </c>
      <c r="BZ27">
        <v>513</v>
      </c>
      <c r="CA27" s="45">
        <v>64.77</v>
      </c>
      <c r="CB27" s="45">
        <v>45.04</v>
      </c>
      <c r="CC27" s="45">
        <v>5.56</v>
      </c>
      <c r="CD27" s="45">
        <v>115.37</v>
      </c>
      <c r="CE27">
        <v>24</v>
      </c>
      <c r="CF27">
        <v>25</v>
      </c>
      <c r="CG27">
        <v>4</v>
      </c>
      <c r="CH27">
        <v>53</v>
      </c>
      <c r="CI27" s="45">
        <v>39.6</v>
      </c>
      <c r="CJ27" s="45">
        <v>40.6</v>
      </c>
      <c r="CK27" s="45">
        <v>6.1</v>
      </c>
      <c r="CL27" s="45">
        <v>86.3</v>
      </c>
      <c r="CM27">
        <v>11</v>
      </c>
      <c r="CN27">
        <v>7</v>
      </c>
      <c r="CO27">
        <v>10</v>
      </c>
      <c r="CP27">
        <v>28</v>
      </c>
      <c r="CQ27" s="45">
        <v>43.7</v>
      </c>
      <c r="CR27" s="45">
        <v>37.2</v>
      </c>
      <c r="CS27" s="45">
        <v>52.6</v>
      </c>
      <c r="CT27" s="45">
        <v>133.5</v>
      </c>
      <c r="CU27">
        <v>1</v>
      </c>
      <c r="CV27">
        <v>3</v>
      </c>
      <c r="CW27">
        <v>9</v>
      </c>
      <c r="CX27">
        <v>13</v>
      </c>
      <c r="CY27" s="45">
        <v>10.7</v>
      </c>
      <c r="CZ27" s="45">
        <v>34.8</v>
      </c>
      <c r="DA27" s="45">
        <v>235.4</v>
      </c>
      <c r="DB27" s="45">
        <v>280.9</v>
      </c>
      <c r="DC27">
        <v>2</v>
      </c>
      <c r="DD27">
        <v>0</v>
      </c>
      <c r="DE27">
        <v>11</v>
      </c>
      <c r="DF27">
        <v>13</v>
      </c>
      <c r="DG27" s="45">
        <v>24.4</v>
      </c>
      <c r="DH27" s="45">
        <v>1.9</v>
      </c>
      <c r="DI27" s="45">
        <v>152.1</v>
      </c>
      <c r="DJ27" s="45">
        <v>178.4</v>
      </c>
      <c r="DK27">
        <v>1</v>
      </c>
      <c r="DL27">
        <v>0</v>
      </c>
      <c r="DM27">
        <v>3</v>
      </c>
      <c r="DN27">
        <v>4</v>
      </c>
      <c r="DO27" s="45">
        <v>0.2</v>
      </c>
      <c r="DP27" s="45">
        <v>0</v>
      </c>
      <c r="DQ27" s="45">
        <v>28</v>
      </c>
      <c r="DR27" s="45">
        <v>28.2</v>
      </c>
      <c r="DS27">
        <v>0</v>
      </c>
      <c r="DT27">
        <v>0</v>
      </c>
      <c r="DU27">
        <v>2</v>
      </c>
      <c r="DV27">
        <v>2</v>
      </c>
      <c r="DW27" s="45">
        <v>0</v>
      </c>
      <c r="DX27" s="45">
        <v>0</v>
      </c>
      <c r="DY27" s="45">
        <v>3.4</v>
      </c>
      <c r="DZ27" s="45">
        <v>3.4</v>
      </c>
      <c r="EA27">
        <v>0</v>
      </c>
      <c r="EB27">
        <v>0</v>
      </c>
      <c r="EC27">
        <v>4</v>
      </c>
      <c r="ED27">
        <v>4</v>
      </c>
      <c r="EE27">
        <v>0</v>
      </c>
      <c r="EF27" s="45">
        <v>0</v>
      </c>
      <c r="EG27" s="45">
        <v>343.1</v>
      </c>
      <c r="EH27" s="45">
        <v>343.1</v>
      </c>
      <c r="EI27">
        <v>339</v>
      </c>
      <c r="EJ27">
        <v>218</v>
      </c>
      <c r="EK27">
        <v>73</v>
      </c>
      <c r="EL27">
        <v>630</v>
      </c>
      <c r="EM27" s="45">
        <v>183.37</v>
      </c>
      <c r="EN27" s="45">
        <v>159.54</v>
      </c>
      <c r="EO27" s="45">
        <v>826.26</v>
      </c>
      <c r="EP27">
        <v>1169.17</v>
      </c>
    </row>
    <row r="28" spans="1:146" ht="9">
      <c r="A28" s="59" t="s">
        <v>45</v>
      </c>
      <c r="B28">
        <v>29</v>
      </c>
      <c r="C28">
        <v>455</v>
      </c>
      <c r="D28">
        <v>118</v>
      </c>
      <c r="E28">
        <v>18</v>
      </c>
      <c r="F28">
        <v>591</v>
      </c>
      <c r="G28" s="45">
        <v>120.27</v>
      </c>
      <c r="H28" s="45">
        <v>31.66</v>
      </c>
      <c r="I28" s="45">
        <v>6.47</v>
      </c>
      <c r="J28" s="45">
        <v>158.4</v>
      </c>
      <c r="K28">
        <v>85</v>
      </c>
      <c r="L28">
        <v>34</v>
      </c>
      <c r="M28">
        <v>13</v>
      </c>
      <c r="N28">
        <v>132</v>
      </c>
      <c r="O28" s="45">
        <v>160.3</v>
      </c>
      <c r="P28" s="45">
        <v>66.8</v>
      </c>
      <c r="Q28" s="45">
        <v>38.6</v>
      </c>
      <c r="R28" s="45">
        <v>265.7</v>
      </c>
      <c r="S28">
        <v>7</v>
      </c>
      <c r="T28">
        <v>8</v>
      </c>
      <c r="U28">
        <v>2</v>
      </c>
      <c r="V28">
        <v>17</v>
      </c>
      <c r="W28" s="45">
        <v>35.8</v>
      </c>
      <c r="X28" s="45">
        <v>34</v>
      </c>
      <c r="Y28" s="45">
        <v>10.1</v>
      </c>
      <c r="Z28" s="45">
        <v>79.9</v>
      </c>
      <c r="AA28">
        <v>15</v>
      </c>
      <c r="AB28">
        <v>11</v>
      </c>
      <c r="AC28">
        <v>36</v>
      </c>
      <c r="AD28">
        <v>62</v>
      </c>
      <c r="AE28" s="45">
        <v>193.1</v>
      </c>
      <c r="AF28" s="45">
        <v>316.2</v>
      </c>
      <c r="AG28" s="45">
        <v>1424.3</v>
      </c>
      <c r="AH28" s="45">
        <v>1933.6</v>
      </c>
      <c r="AI28">
        <v>4</v>
      </c>
      <c r="AJ28">
        <v>1</v>
      </c>
      <c r="AK28">
        <v>10</v>
      </c>
      <c r="AL28">
        <v>15</v>
      </c>
      <c r="AM28" s="45">
        <v>73.8</v>
      </c>
      <c r="AN28" s="45">
        <v>20.7</v>
      </c>
      <c r="AO28" s="45">
        <v>251.3</v>
      </c>
      <c r="AP28" s="45">
        <v>345.8</v>
      </c>
      <c r="AQ28">
        <v>5</v>
      </c>
      <c r="AR28">
        <v>2</v>
      </c>
      <c r="AS28">
        <v>17</v>
      </c>
      <c r="AT28">
        <v>24</v>
      </c>
      <c r="AU28" s="45">
        <v>31.4</v>
      </c>
      <c r="AV28" s="45">
        <v>18.1</v>
      </c>
      <c r="AW28" s="45">
        <v>467.4</v>
      </c>
      <c r="AX28" s="45">
        <v>516.9</v>
      </c>
      <c r="AY28">
        <v>6</v>
      </c>
      <c r="AZ28">
        <v>0</v>
      </c>
      <c r="BA28">
        <v>4</v>
      </c>
      <c r="BB28">
        <v>10</v>
      </c>
      <c r="BC28" s="45">
        <v>14</v>
      </c>
      <c r="BD28" s="45">
        <v>0</v>
      </c>
      <c r="BE28" s="45">
        <v>15.7</v>
      </c>
      <c r="BF28" s="45">
        <v>29.7</v>
      </c>
      <c r="BG28">
        <v>0</v>
      </c>
      <c r="BH28">
        <v>0</v>
      </c>
      <c r="BI28">
        <v>4</v>
      </c>
      <c r="BJ28">
        <v>4</v>
      </c>
      <c r="BK28" s="45">
        <v>0</v>
      </c>
      <c r="BL28" s="45">
        <v>0</v>
      </c>
      <c r="BM28" s="45">
        <v>468.9</v>
      </c>
      <c r="BN28" s="45">
        <v>468.9</v>
      </c>
      <c r="BO28">
        <v>577</v>
      </c>
      <c r="BP28">
        <v>174</v>
      </c>
      <c r="BQ28">
        <v>104</v>
      </c>
      <c r="BR28">
        <v>855</v>
      </c>
      <c r="BS28" s="45">
        <v>628.67</v>
      </c>
      <c r="BT28" s="45">
        <v>487.46</v>
      </c>
      <c r="BU28" s="45">
        <v>2682.77</v>
      </c>
      <c r="BV28" s="45">
        <v>3798.9</v>
      </c>
      <c r="BW28">
        <v>419</v>
      </c>
      <c r="BX28">
        <v>96</v>
      </c>
      <c r="BY28">
        <v>16</v>
      </c>
      <c r="BZ28">
        <v>531</v>
      </c>
      <c r="CA28" s="45">
        <v>109.95</v>
      </c>
      <c r="CB28" s="45">
        <v>25.44</v>
      </c>
      <c r="CC28" s="45">
        <v>5.94</v>
      </c>
      <c r="CD28" s="45">
        <v>141.33</v>
      </c>
      <c r="CE28">
        <v>66</v>
      </c>
      <c r="CF28">
        <v>27</v>
      </c>
      <c r="CG28">
        <v>6</v>
      </c>
      <c r="CH28">
        <v>99</v>
      </c>
      <c r="CI28" s="45">
        <v>90.8</v>
      </c>
      <c r="CJ28" s="45">
        <v>51.5</v>
      </c>
      <c r="CK28" s="45">
        <v>14.4</v>
      </c>
      <c r="CL28" s="45">
        <v>156.7</v>
      </c>
      <c r="CM28">
        <v>8</v>
      </c>
      <c r="CN28">
        <v>6</v>
      </c>
      <c r="CO28">
        <v>2</v>
      </c>
      <c r="CP28">
        <v>16</v>
      </c>
      <c r="CQ28" s="45">
        <v>38.5</v>
      </c>
      <c r="CR28" s="45">
        <v>19.9</v>
      </c>
      <c r="CS28" s="45">
        <v>7.8</v>
      </c>
      <c r="CT28" s="45">
        <v>66.2</v>
      </c>
      <c r="CU28">
        <v>11</v>
      </c>
      <c r="CV28">
        <v>9</v>
      </c>
      <c r="CW28">
        <v>31</v>
      </c>
      <c r="CX28">
        <v>51</v>
      </c>
      <c r="CY28" s="45">
        <v>76.3</v>
      </c>
      <c r="CZ28" s="45">
        <v>130.9</v>
      </c>
      <c r="DA28" s="45">
        <v>567.2</v>
      </c>
      <c r="DB28" s="45">
        <v>774.4</v>
      </c>
      <c r="DC28">
        <v>3</v>
      </c>
      <c r="DD28">
        <v>1</v>
      </c>
      <c r="DE28">
        <v>10</v>
      </c>
      <c r="DF28">
        <v>14</v>
      </c>
      <c r="DG28" s="45">
        <v>51.6</v>
      </c>
      <c r="DH28" s="45">
        <v>18.1</v>
      </c>
      <c r="DI28" s="45">
        <v>203.5</v>
      </c>
      <c r="DJ28" s="45">
        <v>273.2</v>
      </c>
      <c r="DK28">
        <v>4</v>
      </c>
      <c r="DL28">
        <v>2</v>
      </c>
      <c r="DM28">
        <v>14</v>
      </c>
      <c r="DN28">
        <v>20</v>
      </c>
      <c r="DO28" s="45">
        <v>14.9</v>
      </c>
      <c r="DP28" s="45">
        <v>10.9</v>
      </c>
      <c r="DQ28" s="45">
        <v>124.8</v>
      </c>
      <c r="DR28" s="45">
        <v>150.6</v>
      </c>
      <c r="DS28">
        <v>3</v>
      </c>
      <c r="DT28">
        <v>0</v>
      </c>
      <c r="DU28">
        <v>3</v>
      </c>
      <c r="DV28">
        <v>6</v>
      </c>
      <c r="DW28" s="45">
        <v>6</v>
      </c>
      <c r="DX28" s="45">
        <v>0</v>
      </c>
      <c r="DY28" s="45">
        <v>5.1</v>
      </c>
      <c r="DZ28" s="45">
        <v>11.1</v>
      </c>
      <c r="EA28">
        <v>0</v>
      </c>
      <c r="EB28">
        <v>0</v>
      </c>
      <c r="EC28">
        <v>4</v>
      </c>
      <c r="ED28">
        <v>4</v>
      </c>
      <c r="EE28">
        <v>0</v>
      </c>
      <c r="EF28" s="45">
        <v>0</v>
      </c>
      <c r="EG28" s="45">
        <v>372</v>
      </c>
      <c r="EH28" s="45">
        <v>372</v>
      </c>
      <c r="EI28">
        <v>514</v>
      </c>
      <c r="EJ28">
        <v>141</v>
      </c>
      <c r="EK28">
        <v>86</v>
      </c>
      <c r="EL28">
        <v>741</v>
      </c>
      <c r="EM28" s="45">
        <v>388.05</v>
      </c>
      <c r="EN28" s="45">
        <v>256.74</v>
      </c>
      <c r="EO28" s="45">
        <v>1300.74</v>
      </c>
      <c r="EP28">
        <v>1945.53</v>
      </c>
    </row>
    <row r="29" spans="1:146" ht="9">
      <c r="A29" s="59" t="s">
        <v>46</v>
      </c>
      <c r="B29">
        <v>50</v>
      </c>
      <c r="C29">
        <v>1999</v>
      </c>
      <c r="D29">
        <v>324</v>
      </c>
      <c r="E29">
        <v>125</v>
      </c>
      <c r="F29">
        <v>2448</v>
      </c>
      <c r="G29" s="45">
        <v>561.54</v>
      </c>
      <c r="H29" s="45">
        <v>80.1</v>
      </c>
      <c r="I29" s="45">
        <v>37.82</v>
      </c>
      <c r="J29" s="45">
        <v>679.46</v>
      </c>
      <c r="K29">
        <v>222</v>
      </c>
      <c r="L29">
        <v>45</v>
      </c>
      <c r="M29">
        <v>17</v>
      </c>
      <c r="N29">
        <v>284</v>
      </c>
      <c r="O29" s="45">
        <v>375.5</v>
      </c>
      <c r="P29" s="45">
        <v>77.2</v>
      </c>
      <c r="Q29" s="45">
        <v>35.8</v>
      </c>
      <c r="R29" s="45">
        <v>488.5</v>
      </c>
      <c r="S29">
        <v>58</v>
      </c>
      <c r="T29">
        <v>6</v>
      </c>
      <c r="U29">
        <v>19</v>
      </c>
      <c r="V29">
        <v>83</v>
      </c>
      <c r="W29" s="45">
        <v>331.5</v>
      </c>
      <c r="X29" s="45">
        <v>42</v>
      </c>
      <c r="Y29" s="45">
        <v>117.7</v>
      </c>
      <c r="Z29" s="45">
        <v>491.2</v>
      </c>
      <c r="AA29">
        <v>16</v>
      </c>
      <c r="AB29">
        <v>6</v>
      </c>
      <c r="AC29">
        <v>21</v>
      </c>
      <c r="AD29">
        <v>43</v>
      </c>
      <c r="AE29" s="45">
        <v>574</v>
      </c>
      <c r="AF29" s="45">
        <v>137.8</v>
      </c>
      <c r="AG29" s="45">
        <v>468.9</v>
      </c>
      <c r="AH29" s="45">
        <v>1180.7</v>
      </c>
      <c r="AI29">
        <v>8</v>
      </c>
      <c r="AJ29">
        <v>2</v>
      </c>
      <c r="AK29">
        <v>15</v>
      </c>
      <c r="AL29">
        <v>25</v>
      </c>
      <c r="AM29" s="45">
        <v>150.4</v>
      </c>
      <c r="AN29" s="45">
        <v>58.3</v>
      </c>
      <c r="AO29" s="45">
        <v>335.3</v>
      </c>
      <c r="AP29" s="45">
        <v>544</v>
      </c>
      <c r="AQ29">
        <v>1</v>
      </c>
      <c r="AR29">
        <v>1</v>
      </c>
      <c r="AS29">
        <v>2</v>
      </c>
      <c r="AT29">
        <v>4</v>
      </c>
      <c r="AU29" s="45">
        <v>4.5</v>
      </c>
      <c r="AV29" s="45">
        <v>16.7</v>
      </c>
      <c r="AW29" s="45">
        <v>17.8</v>
      </c>
      <c r="AX29" s="45">
        <v>39</v>
      </c>
      <c r="AY29">
        <v>13</v>
      </c>
      <c r="AZ29">
        <v>3</v>
      </c>
      <c r="BA29">
        <v>6</v>
      </c>
      <c r="BB29">
        <v>22</v>
      </c>
      <c r="BC29" s="45">
        <v>88.2</v>
      </c>
      <c r="BD29" s="45">
        <v>4.4</v>
      </c>
      <c r="BE29" s="45">
        <v>29.1</v>
      </c>
      <c r="BF29" s="45">
        <v>121.7</v>
      </c>
      <c r="BG29">
        <v>0</v>
      </c>
      <c r="BH29">
        <v>0</v>
      </c>
      <c r="BI29">
        <v>6</v>
      </c>
      <c r="BJ29">
        <v>6</v>
      </c>
      <c r="BK29" s="45">
        <v>0</v>
      </c>
      <c r="BL29" s="45">
        <v>0</v>
      </c>
      <c r="BM29" s="45">
        <v>814</v>
      </c>
      <c r="BN29" s="45">
        <v>814</v>
      </c>
      <c r="BO29">
        <v>2317</v>
      </c>
      <c r="BP29">
        <v>387</v>
      </c>
      <c r="BQ29">
        <v>211</v>
      </c>
      <c r="BR29">
        <v>2915</v>
      </c>
      <c r="BS29" s="45">
        <v>2085.64</v>
      </c>
      <c r="BT29" s="45">
        <v>416.5</v>
      </c>
      <c r="BU29" s="45">
        <v>1856.42</v>
      </c>
      <c r="BV29" s="45">
        <v>4358.56</v>
      </c>
      <c r="BW29">
        <v>1949</v>
      </c>
      <c r="BX29">
        <v>288</v>
      </c>
      <c r="BY29">
        <v>120</v>
      </c>
      <c r="BZ29">
        <v>2357</v>
      </c>
      <c r="CA29" s="45">
        <v>546.22</v>
      </c>
      <c r="CB29" s="45">
        <v>72.74</v>
      </c>
      <c r="CC29" s="45">
        <v>36.49</v>
      </c>
      <c r="CD29" s="45">
        <v>655.45</v>
      </c>
      <c r="CE29">
        <v>211</v>
      </c>
      <c r="CF29">
        <v>38</v>
      </c>
      <c r="CG29">
        <v>14</v>
      </c>
      <c r="CH29">
        <v>263</v>
      </c>
      <c r="CI29" s="45">
        <v>345.9</v>
      </c>
      <c r="CJ29" s="45">
        <v>63.2</v>
      </c>
      <c r="CK29" s="45">
        <v>27.3</v>
      </c>
      <c r="CL29" s="45">
        <v>436.4</v>
      </c>
      <c r="CM29">
        <v>54</v>
      </c>
      <c r="CN29">
        <v>5</v>
      </c>
      <c r="CO29">
        <v>16</v>
      </c>
      <c r="CP29">
        <v>75</v>
      </c>
      <c r="CQ29" s="45">
        <v>226.9</v>
      </c>
      <c r="CR29" s="45">
        <v>17.5</v>
      </c>
      <c r="CS29" s="45">
        <v>89.9</v>
      </c>
      <c r="CT29" s="45">
        <v>334.3</v>
      </c>
      <c r="CU29">
        <v>15</v>
      </c>
      <c r="CV29">
        <v>4</v>
      </c>
      <c r="CW29">
        <v>19</v>
      </c>
      <c r="CX29">
        <v>38</v>
      </c>
      <c r="CY29" s="45">
        <v>360.6</v>
      </c>
      <c r="CZ29" s="45">
        <v>76.3</v>
      </c>
      <c r="DA29" s="45">
        <v>292.8</v>
      </c>
      <c r="DB29" s="45">
        <v>729.7</v>
      </c>
      <c r="DC29">
        <v>8</v>
      </c>
      <c r="DD29">
        <v>2</v>
      </c>
      <c r="DE29">
        <v>15</v>
      </c>
      <c r="DF29">
        <v>25</v>
      </c>
      <c r="DG29" s="45">
        <v>138.6</v>
      </c>
      <c r="DH29" s="45">
        <v>53.7</v>
      </c>
      <c r="DI29" s="45">
        <v>242.9</v>
      </c>
      <c r="DJ29" s="45">
        <v>435.2</v>
      </c>
      <c r="DK29">
        <v>1</v>
      </c>
      <c r="DL29">
        <v>1</v>
      </c>
      <c r="DM29">
        <v>2</v>
      </c>
      <c r="DN29">
        <v>4</v>
      </c>
      <c r="DO29" s="45">
        <v>4.5</v>
      </c>
      <c r="DP29" s="45">
        <v>16.7</v>
      </c>
      <c r="DQ29" s="45">
        <v>14.4</v>
      </c>
      <c r="DR29" s="45">
        <v>35.6</v>
      </c>
      <c r="DS29">
        <v>10</v>
      </c>
      <c r="DT29">
        <v>3</v>
      </c>
      <c r="DU29">
        <v>6</v>
      </c>
      <c r="DV29">
        <v>19</v>
      </c>
      <c r="DW29" s="45">
        <v>70.4</v>
      </c>
      <c r="DX29" s="45">
        <v>4.2</v>
      </c>
      <c r="DY29" s="45">
        <v>27.2</v>
      </c>
      <c r="DZ29" s="45">
        <v>101.8</v>
      </c>
      <c r="EA29">
        <v>0</v>
      </c>
      <c r="EB29">
        <v>0</v>
      </c>
      <c r="EC29">
        <v>5</v>
      </c>
      <c r="ED29">
        <v>5</v>
      </c>
      <c r="EE29">
        <v>0</v>
      </c>
      <c r="EF29" s="45">
        <v>0</v>
      </c>
      <c r="EG29" s="45">
        <v>493.4</v>
      </c>
      <c r="EH29" s="45">
        <v>493.4</v>
      </c>
      <c r="EI29">
        <v>2248</v>
      </c>
      <c r="EJ29">
        <v>341</v>
      </c>
      <c r="EK29">
        <v>197</v>
      </c>
      <c r="EL29">
        <v>2786</v>
      </c>
      <c r="EM29" s="45">
        <v>1693.12</v>
      </c>
      <c r="EN29" s="45">
        <v>304.34</v>
      </c>
      <c r="EO29" s="45">
        <v>1224.39</v>
      </c>
      <c r="EP29">
        <v>3221.85</v>
      </c>
    </row>
    <row r="30" spans="1:146" ht="9">
      <c r="A30" s="59" t="s">
        <v>47</v>
      </c>
      <c r="B30">
        <v>22</v>
      </c>
      <c r="C30">
        <v>309</v>
      </c>
      <c r="D30">
        <v>94</v>
      </c>
      <c r="E30">
        <v>81</v>
      </c>
      <c r="F30">
        <v>484</v>
      </c>
      <c r="G30" s="45">
        <v>57.04</v>
      </c>
      <c r="H30" s="45">
        <v>16.25</v>
      </c>
      <c r="I30" s="45">
        <v>16.29</v>
      </c>
      <c r="J30" s="45">
        <v>89.58</v>
      </c>
      <c r="K30">
        <v>30</v>
      </c>
      <c r="L30">
        <v>9</v>
      </c>
      <c r="M30">
        <v>16</v>
      </c>
      <c r="N30">
        <v>55</v>
      </c>
      <c r="O30" s="45">
        <v>51.7</v>
      </c>
      <c r="P30" s="45">
        <v>15.8</v>
      </c>
      <c r="Q30" s="45">
        <v>24.2</v>
      </c>
      <c r="R30" s="45">
        <v>91.7</v>
      </c>
      <c r="S30">
        <v>8</v>
      </c>
      <c r="T30">
        <v>6</v>
      </c>
      <c r="U30">
        <v>7</v>
      </c>
      <c r="V30">
        <v>21</v>
      </c>
      <c r="W30" s="45">
        <v>58.3</v>
      </c>
      <c r="X30" s="45">
        <v>45</v>
      </c>
      <c r="Y30" s="45">
        <v>40</v>
      </c>
      <c r="Z30" s="45">
        <v>143.3</v>
      </c>
      <c r="AA30">
        <v>5</v>
      </c>
      <c r="AB30">
        <v>9</v>
      </c>
      <c r="AC30">
        <v>11</v>
      </c>
      <c r="AD30">
        <v>25</v>
      </c>
      <c r="AE30" s="45">
        <v>48.2</v>
      </c>
      <c r="AF30" s="45">
        <v>287.1</v>
      </c>
      <c r="AG30" s="45">
        <v>225.6</v>
      </c>
      <c r="AH30" s="45">
        <v>560.9</v>
      </c>
      <c r="AI30">
        <v>3</v>
      </c>
      <c r="AJ30">
        <v>5</v>
      </c>
      <c r="AK30">
        <v>3</v>
      </c>
      <c r="AL30">
        <v>11</v>
      </c>
      <c r="AM30" s="45">
        <v>29.1</v>
      </c>
      <c r="AN30" s="45">
        <v>103</v>
      </c>
      <c r="AO30" s="45">
        <v>94.7</v>
      </c>
      <c r="AP30" s="45">
        <v>226.8</v>
      </c>
      <c r="AQ30">
        <v>0</v>
      </c>
      <c r="AR30">
        <v>1</v>
      </c>
      <c r="AS30">
        <v>2</v>
      </c>
      <c r="AT30">
        <v>3</v>
      </c>
      <c r="AU30" s="45">
        <v>0</v>
      </c>
      <c r="AV30" s="45">
        <v>0.4</v>
      </c>
      <c r="AW30" s="45">
        <v>11.7</v>
      </c>
      <c r="AX30" s="45">
        <v>12.1</v>
      </c>
      <c r="AY30">
        <v>1</v>
      </c>
      <c r="AZ30">
        <v>0</v>
      </c>
      <c r="BA30">
        <v>0</v>
      </c>
      <c r="BB30">
        <v>1</v>
      </c>
      <c r="BC30" s="45">
        <v>3.8</v>
      </c>
      <c r="BD30" s="45">
        <v>0</v>
      </c>
      <c r="BE30" s="45">
        <v>0</v>
      </c>
      <c r="BF30" s="45">
        <v>3.8</v>
      </c>
      <c r="BG30">
        <v>0</v>
      </c>
      <c r="BH30">
        <v>0</v>
      </c>
      <c r="BI30">
        <v>2</v>
      </c>
      <c r="BJ30">
        <v>2</v>
      </c>
      <c r="BK30" s="45">
        <v>0</v>
      </c>
      <c r="BL30" s="45">
        <v>0</v>
      </c>
      <c r="BM30" s="45">
        <v>653.7</v>
      </c>
      <c r="BN30" s="45">
        <v>653.7</v>
      </c>
      <c r="BO30">
        <v>356</v>
      </c>
      <c r="BP30">
        <v>124</v>
      </c>
      <c r="BQ30">
        <v>122</v>
      </c>
      <c r="BR30">
        <v>602</v>
      </c>
      <c r="BS30" s="45">
        <v>248.14</v>
      </c>
      <c r="BT30" s="45">
        <v>467.55</v>
      </c>
      <c r="BU30" s="45">
        <v>1066.19</v>
      </c>
      <c r="BV30" s="45">
        <v>1781.88</v>
      </c>
      <c r="BW30">
        <v>303</v>
      </c>
      <c r="BX30">
        <v>92</v>
      </c>
      <c r="BY30">
        <v>81</v>
      </c>
      <c r="BZ30">
        <v>476</v>
      </c>
      <c r="CA30" s="45">
        <v>54.45</v>
      </c>
      <c r="CB30" s="45">
        <v>15.76</v>
      </c>
      <c r="CC30" s="45">
        <v>16.09</v>
      </c>
      <c r="CD30" s="45">
        <v>86.3</v>
      </c>
      <c r="CE30">
        <v>29</v>
      </c>
      <c r="CF30">
        <v>9</v>
      </c>
      <c r="CG30">
        <v>15</v>
      </c>
      <c r="CH30">
        <v>53</v>
      </c>
      <c r="CI30" s="45">
        <v>48.2</v>
      </c>
      <c r="CJ30" s="45">
        <v>15</v>
      </c>
      <c r="CK30" s="45">
        <v>21.9</v>
      </c>
      <c r="CL30" s="45">
        <v>85.1</v>
      </c>
      <c r="CM30">
        <v>7</v>
      </c>
      <c r="CN30">
        <v>6</v>
      </c>
      <c r="CO30">
        <v>6</v>
      </c>
      <c r="CP30">
        <v>19</v>
      </c>
      <c r="CQ30" s="45">
        <v>40.9</v>
      </c>
      <c r="CR30" s="45">
        <v>40</v>
      </c>
      <c r="CS30" s="45">
        <v>32.4</v>
      </c>
      <c r="CT30" s="45">
        <v>113.3</v>
      </c>
      <c r="CU30">
        <v>4</v>
      </c>
      <c r="CV30">
        <v>9</v>
      </c>
      <c r="CW30">
        <v>9</v>
      </c>
      <c r="CX30">
        <v>22</v>
      </c>
      <c r="CY30" s="45">
        <v>31.9</v>
      </c>
      <c r="CZ30" s="45">
        <v>202.7</v>
      </c>
      <c r="DA30" s="45">
        <v>159.5</v>
      </c>
      <c r="DB30" s="45">
        <v>394.1</v>
      </c>
      <c r="DC30">
        <v>3</v>
      </c>
      <c r="DD30">
        <v>5</v>
      </c>
      <c r="DE30">
        <v>3</v>
      </c>
      <c r="DF30">
        <v>11</v>
      </c>
      <c r="DG30" s="45">
        <v>27.9</v>
      </c>
      <c r="DH30" s="45">
        <v>80.9</v>
      </c>
      <c r="DI30" s="45">
        <v>42.7</v>
      </c>
      <c r="DJ30" s="45">
        <v>151.5</v>
      </c>
      <c r="DK30">
        <v>0</v>
      </c>
      <c r="DL30">
        <v>1</v>
      </c>
      <c r="DM30">
        <v>2</v>
      </c>
      <c r="DN30">
        <v>3</v>
      </c>
      <c r="DO30" s="45">
        <v>0</v>
      </c>
      <c r="DP30" s="45">
        <v>0.4</v>
      </c>
      <c r="DQ30" s="45">
        <v>8</v>
      </c>
      <c r="DR30" s="45">
        <v>8.4</v>
      </c>
      <c r="DS30">
        <v>1</v>
      </c>
      <c r="DT30">
        <v>0</v>
      </c>
      <c r="DU30">
        <v>0</v>
      </c>
      <c r="DV30">
        <v>1</v>
      </c>
      <c r="DW30" s="45">
        <v>3.8</v>
      </c>
      <c r="DX30" s="45">
        <v>0</v>
      </c>
      <c r="DY30" s="45">
        <v>0</v>
      </c>
      <c r="DZ30" s="45">
        <v>3.8</v>
      </c>
      <c r="EA30">
        <v>0</v>
      </c>
      <c r="EB30">
        <v>0</v>
      </c>
      <c r="EC30">
        <v>2</v>
      </c>
      <c r="ED30">
        <v>2</v>
      </c>
      <c r="EE30">
        <v>0</v>
      </c>
      <c r="EF30" s="45">
        <v>0</v>
      </c>
      <c r="EG30" s="45">
        <v>96.9</v>
      </c>
      <c r="EH30" s="45">
        <v>96.9</v>
      </c>
      <c r="EI30">
        <v>347</v>
      </c>
      <c r="EJ30">
        <v>122</v>
      </c>
      <c r="EK30">
        <v>118</v>
      </c>
      <c r="EL30">
        <v>587</v>
      </c>
      <c r="EM30" s="45">
        <v>207.15</v>
      </c>
      <c r="EN30" s="45">
        <v>354.76</v>
      </c>
      <c r="EO30" s="45">
        <v>377.49</v>
      </c>
      <c r="EP30">
        <v>939.4</v>
      </c>
    </row>
    <row r="31" spans="1:146" ht="9">
      <c r="A31" s="50" t="s">
        <v>99</v>
      </c>
      <c r="B31" s="60">
        <v>134</v>
      </c>
      <c r="C31" s="60">
        <v>3065</v>
      </c>
      <c r="D31" s="60">
        <v>719</v>
      </c>
      <c r="E31" s="60">
        <v>254</v>
      </c>
      <c r="F31" s="60">
        <v>4038</v>
      </c>
      <c r="G31" s="61">
        <v>805.05</v>
      </c>
      <c r="H31" s="61">
        <v>173.18</v>
      </c>
      <c r="I31" s="61">
        <v>66.13</v>
      </c>
      <c r="J31" s="61">
        <v>1044.36</v>
      </c>
      <c r="K31" s="60">
        <v>360</v>
      </c>
      <c r="L31" s="60">
        <v>116</v>
      </c>
      <c r="M31" s="60">
        <v>50</v>
      </c>
      <c r="N31" s="60">
        <v>526</v>
      </c>
      <c r="O31" s="61">
        <v>624.8</v>
      </c>
      <c r="P31" s="61">
        <v>208</v>
      </c>
      <c r="Q31" s="61">
        <v>104.7</v>
      </c>
      <c r="R31" s="61">
        <v>937.5</v>
      </c>
      <c r="S31" s="60">
        <v>84</v>
      </c>
      <c r="T31" s="60">
        <v>27</v>
      </c>
      <c r="U31" s="60">
        <v>38</v>
      </c>
      <c r="V31" s="60">
        <v>149</v>
      </c>
      <c r="W31" s="61">
        <v>497.2</v>
      </c>
      <c r="X31" s="61">
        <v>155.7</v>
      </c>
      <c r="Y31" s="61">
        <v>224.9</v>
      </c>
      <c r="Z31" s="61">
        <v>877.8</v>
      </c>
      <c r="AA31" s="60">
        <v>37</v>
      </c>
      <c r="AB31" s="60">
        <v>29</v>
      </c>
      <c r="AC31" s="60">
        <v>77</v>
      </c>
      <c r="AD31" s="60">
        <v>143</v>
      </c>
      <c r="AE31" s="61">
        <v>832</v>
      </c>
      <c r="AF31" s="61">
        <v>785.8</v>
      </c>
      <c r="AG31" s="61">
        <v>2390.4</v>
      </c>
      <c r="AH31" s="61">
        <v>4008.2</v>
      </c>
      <c r="AI31" s="60">
        <v>17</v>
      </c>
      <c r="AJ31" s="60">
        <v>8</v>
      </c>
      <c r="AK31" s="60">
        <v>40</v>
      </c>
      <c r="AL31" s="60">
        <v>65</v>
      </c>
      <c r="AM31" s="61">
        <v>279.8</v>
      </c>
      <c r="AN31" s="61">
        <v>183.9</v>
      </c>
      <c r="AO31" s="61">
        <v>871.8</v>
      </c>
      <c r="AP31" s="61">
        <v>1335.5</v>
      </c>
      <c r="AQ31" s="60">
        <v>7</v>
      </c>
      <c r="AR31" s="60">
        <v>4</v>
      </c>
      <c r="AS31" s="60">
        <v>25</v>
      </c>
      <c r="AT31" s="60">
        <v>36</v>
      </c>
      <c r="AU31" s="61">
        <v>36.1</v>
      </c>
      <c r="AV31" s="61">
        <v>35.9</v>
      </c>
      <c r="AW31" s="61">
        <v>555.6</v>
      </c>
      <c r="AX31" s="61">
        <v>627.6</v>
      </c>
      <c r="AY31" s="60">
        <v>20</v>
      </c>
      <c r="AZ31" s="60">
        <v>3</v>
      </c>
      <c r="BA31" s="60">
        <v>13</v>
      </c>
      <c r="BB31" s="60">
        <v>36</v>
      </c>
      <c r="BC31" s="61">
        <v>106</v>
      </c>
      <c r="BD31" s="61">
        <v>4.4</v>
      </c>
      <c r="BE31" s="61">
        <v>54.1</v>
      </c>
      <c r="BF31" s="61">
        <v>164.5</v>
      </c>
      <c r="BG31" s="60">
        <v>0</v>
      </c>
      <c r="BH31" s="60">
        <v>0</v>
      </c>
      <c r="BI31" s="60">
        <v>16</v>
      </c>
      <c r="BJ31" s="60">
        <v>16</v>
      </c>
      <c r="BK31" s="61">
        <v>0</v>
      </c>
      <c r="BL31" s="61">
        <v>0</v>
      </c>
      <c r="BM31" s="61">
        <v>2355.4</v>
      </c>
      <c r="BN31" s="61">
        <v>2355.4</v>
      </c>
      <c r="BO31" s="60">
        <v>3590</v>
      </c>
      <c r="BP31" s="60">
        <v>906</v>
      </c>
      <c r="BQ31" s="60">
        <v>513</v>
      </c>
      <c r="BR31" s="60">
        <v>5009</v>
      </c>
      <c r="BS31" s="61">
        <v>3180.95</v>
      </c>
      <c r="BT31" s="61">
        <v>1546.88</v>
      </c>
      <c r="BU31" s="61">
        <v>6623.03</v>
      </c>
      <c r="BV31" s="61">
        <v>11350.86</v>
      </c>
      <c r="BW31" s="60">
        <v>2971</v>
      </c>
      <c r="BX31" s="60">
        <v>659</v>
      </c>
      <c r="BY31" s="60">
        <v>247</v>
      </c>
      <c r="BZ31" s="60">
        <v>3877</v>
      </c>
      <c r="CA31" s="61">
        <v>775.39</v>
      </c>
      <c r="CB31" s="61">
        <v>158.98</v>
      </c>
      <c r="CC31" s="61">
        <v>64.08</v>
      </c>
      <c r="CD31" s="61">
        <v>998.45</v>
      </c>
      <c r="CE31" s="60">
        <v>330</v>
      </c>
      <c r="CF31" s="60">
        <v>99</v>
      </c>
      <c r="CG31" s="60">
        <v>39</v>
      </c>
      <c r="CH31" s="60">
        <v>468</v>
      </c>
      <c r="CI31" s="61">
        <v>524.5</v>
      </c>
      <c r="CJ31" s="61">
        <v>170.3</v>
      </c>
      <c r="CK31" s="61">
        <v>69.7</v>
      </c>
      <c r="CL31" s="61">
        <v>764.5</v>
      </c>
      <c r="CM31" s="60">
        <v>80</v>
      </c>
      <c r="CN31" s="60">
        <v>24</v>
      </c>
      <c r="CO31" s="60">
        <v>34</v>
      </c>
      <c r="CP31" s="60">
        <v>138</v>
      </c>
      <c r="CQ31" s="61">
        <v>350</v>
      </c>
      <c r="CR31" s="61">
        <v>114.6</v>
      </c>
      <c r="CS31" s="61">
        <v>182.7</v>
      </c>
      <c r="CT31" s="61">
        <v>647.3</v>
      </c>
      <c r="CU31" s="60">
        <v>31</v>
      </c>
      <c r="CV31" s="60">
        <v>25</v>
      </c>
      <c r="CW31" s="60">
        <v>68</v>
      </c>
      <c r="CX31" s="60">
        <v>124</v>
      </c>
      <c r="CY31" s="61">
        <v>479.5</v>
      </c>
      <c r="CZ31" s="61">
        <v>444.7</v>
      </c>
      <c r="DA31" s="61">
        <v>1254.9</v>
      </c>
      <c r="DB31" s="61">
        <v>2179.1</v>
      </c>
      <c r="DC31" s="60">
        <v>16</v>
      </c>
      <c r="DD31" s="60">
        <v>8</v>
      </c>
      <c r="DE31" s="60">
        <v>39</v>
      </c>
      <c r="DF31" s="60">
        <v>63</v>
      </c>
      <c r="DG31" s="61">
        <v>242.5</v>
      </c>
      <c r="DH31" s="61">
        <v>154.6</v>
      </c>
      <c r="DI31" s="61">
        <v>641.2</v>
      </c>
      <c r="DJ31" s="61">
        <v>1038.3</v>
      </c>
      <c r="DK31" s="60">
        <v>6</v>
      </c>
      <c r="DL31" s="60">
        <v>4</v>
      </c>
      <c r="DM31" s="60">
        <v>21</v>
      </c>
      <c r="DN31" s="60">
        <v>31</v>
      </c>
      <c r="DO31" s="61">
        <v>19.6</v>
      </c>
      <c r="DP31" s="61">
        <v>28</v>
      </c>
      <c r="DQ31" s="61">
        <v>175.2</v>
      </c>
      <c r="DR31" s="61">
        <v>222.8</v>
      </c>
      <c r="DS31" s="60">
        <v>14</v>
      </c>
      <c r="DT31" s="60">
        <v>3</v>
      </c>
      <c r="DU31" s="60">
        <v>11</v>
      </c>
      <c r="DV31" s="60">
        <v>28</v>
      </c>
      <c r="DW31" s="61">
        <v>80.2</v>
      </c>
      <c r="DX31" s="61">
        <v>4.2</v>
      </c>
      <c r="DY31" s="61">
        <v>35.7</v>
      </c>
      <c r="DZ31" s="61">
        <v>120.1</v>
      </c>
      <c r="EA31" s="60">
        <v>0</v>
      </c>
      <c r="EB31" s="60">
        <v>0</v>
      </c>
      <c r="EC31" s="60">
        <v>15</v>
      </c>
      <c r="ED31" s="60">
        <v>15</v>
      </c>
      <c r="EE31" s="60">
        <v>0</v>
      </c>
      <c r="EF31" s="61">
        <v>0</v>
      </c>
      <c r="EG31" s="61">
        <v>1305.4</v>
      </c>
      <c r="EH31" s="61">
        <v>1305.4</v>
      </c>
      <c r="EI31" s="60">
        <v>3448</v>
      </c>
      <c r="EJ31" s="60">
        <v>822</v>
      </c>
      <c r="EK31" s="60">
        <v>474</v>
      </c>
      <c r="EL31" s="60">
        <v>4744</v>
      </c>
      <c r="EM31" s="61">
        <v>2471.69</v>
      </c>
      <c r="EN31" s="61">
        <v>1075.38</v>
      </c>
      <c r="EO31" s="61">
        <v>3728.88</v>
      </c>
      <c r="EP31" s="60">
        <v>7275.95</v>
      </c>
    </row>
    <row r="32" spans="1:146" ht="9">
      <c r="A32" s="62" t="s">
        <v>48</v>
      </c>
      <c r="B32">
        <v>13</v>
      </c>
      <c r="C32">
        <v>307</v>
      </c>
      <c r="D32">
        <v>105</v>
      </c>
      <c r="E32">
        <v>30</v>
      </c>
      <c r="F32">
        <v>442</v>
      </c>
      <c r="G32" s="45">
        <v>70.47</v>
      </c>
      <c r="H32" s="45">
        <v>25.24</v>
      </c>
      <c r="I32" s="45">
        <v>4.45</v>
      </c>
      <c r="J32" s="45">
        <v>100.16</v>
      </c>
      <c r="K32">
        <v>23</v>
      </c>
      <c r="L32">
        <v>18</v>
      </c>
      <c r="M32">
        <v>4</v>
      </c>
      <c r="N32">
        <v>45</v>
      </c>
      <c r="O32" s="45">
        <v>40.1</v>
      </c>
      <c r="P32" s="45">
        <v>26.5</v>
      </c>
      <c r="Q32" s="45">
        <v>7</v>
      </c>
      <c r="R32" s="45">
        <v>73.6</v>
      </c>
      <c r="S32">
        <v>3</v>
      </c>
      <c r="T32">
        <v>8</v>
      </c>
      <c r="U32">
        <v>0</v>
      </c>
      <c r="V32">
        <v>11</v>
      </c>
      <c r="W32" s="45">
        <v>12.4</v>
      </c>
      <c r="X32" s="45">
        <v>34.2</v>
      </c>
      <c r="Y32" s="45">
        <v>0</v>
      </c>
      <c r="Z32" s="45">
        <v>46.6</v>
      </c>
      <c r="AA32">
        <v>3</v>
      </c>
      <c r="AB32">
        <v>2</v>
      </c>
      <c r="AC32">
        <v>14</v>
      </c>
      <c r="AD32">
        <v>19</v>
      </c>
      <c r="AE32" s="45">
        <v>216.7</v>
      </c>
      <c r="AF32" s="45">
        <v>79.6</v>
      </c>
      <c r="AG32" s="45">
        <v>467.5</v>
      </c>
      <c r="AH32" s="45">
        <v>763.8</v>
      </c>
      <c r="AI32">
        <v>4</v>
      </c>
      <c r="AJ32">
        <v>3</v>
      </c>
      <c r="AK32">
        <v>2</v>
      </c>
      <c r="AL32">
        <v>9</v>
      </c>
      <c r="AM32" s="45">
        <v>65.4</v>
      </c>
      <c r="AN32" s="45">
        <v>43.4</v>
      </c>
      <c r="AO32" s="45">
        <v>66.9</v>
      </c>
      <c r="AP32" s="45">
        <v>175.7</v>
      </c>
      <c r="AQ32">
        <v>0</v>
      </c>
      <c r="AR32">
        <v>2</v>
      </c>
      <c r="AS32">
        <v>1</v>
      </c>
      <c r="AT32">
        <v>3</v>
      </c>
      <c r="AU32" s="45">
        <v>0</v>
      </c>
      <c r="AV32" s="45">
        <v>21</v>
      </c>
      <c r="AW32" s="45">
        <v>4.2</v>
      </c>
      <c r="AX32" s="45">
        <v>25.2</v>
      </c>
      <c r="AY32">
        <v>2</v>
      </c>
      <c r="AZ32">
        <v>0</v>
      </c>
      <c r="BA32">
        <v>0</v>
      </c>
      <c r="BB32">
        <v>2</v>
      </c>
      <c r="BC32" s="45">
        <v>1.1</v>
      </c>
      <c r="BD32" s="45">
        <v>0</v>
      </c>
      <c r="BE32" s="45">
        <v>0</v>
      </c>
      <c r="BF32" s="45">
        <v>1.1</v>
      </c>
      <c r="BG32">
        <v>0</v>
      </c>
      <c r="BH32">
        <v>0</v>
      </c>
      <c r="BI32">
        <v>0</v>
      </c>
      <c r="BJ32">
        <v>0</v>
      </c>
      <c r="BK32" s="45">
        <v>0</v>
      </c>
      <c r="BL32" s="45">
        <v>0</v>
      </c>
      <c r="BM32" s="45">
        <v>0</v>
      </c>
      <c r="BN32" s="45">
        <v>0</v>
      </c>
      <c r="BO32">
        <v>342</v>
      </c>
      <c r="BP32">
        <v>138</v>
      </c>
      <c r="BQ32">
        <v>51</v>
      </c>
      <c r="BR32">
        <v>531</v>
      </c>
      <c r="BS32" s="45">
        <v>406.17</v>
      </c>
      <c r="BT32" s="45">
        <v>229.94</v>
      </c>
      <c r="BU32" s="45">
        <v>550.05</v>
      </c>
      <c r="BV32" s="45">
        <v>1186.16</v>
      </c>
      <c r="BW32">
        <v>301</v>
      </c>
      <c r="BX32">
        <v>104</v>
      </c>
      <c r="BY32">
        <v>30</v>
      </c>
      <c r="BZ32">
        <v>435</v>
      </c>
      <c r="CA32" s="45">
        <v>68.78</v>
      </c>
      <c r="CB32" s="45">
        <v>24.44</v>
      </c>
      <c r="CC32" s="45">
        <v>4.45</v>
      </c>
      <c r="CD32" s="45">
        <v>97.67</v>
      </c>
      <c r="CE32">
        <v>23</v>
      </c>
      <c r="CF32">
        <v>17</v>
      </c>
      <c r="CG32">
        <v>4</v>
      </c>
      <c r="CH32">
        <v>44</v>
      </c>
      <c r="CI32" s="45">
        <v>40.1</v>
      </c>
      <c r="CJ32" s="45">
        <v>25.4</v>
      </c>
      <c r="CK32" s="45">
        <v>7</v>
      </c>
      <c r="CL32" s="45">
        <v>72.5</v>
      </c>
      <c r="CM32">
        <v>3</v>
      </c>
      <c r="CN32">
        <v>7</v>
      </c>
      <c r="CO32">
        <v>0</v>
      </c>
      <c r="CP32">
        <v>10</v>
      </c>
      <c r="CQ32" s="45">
        <v>12.1</v>
      </c>
      <c r="CR32" s="45">
        <v>27.3</v>
      </c>
      <c r="CS32" s="45">
        <v>0</v>
      </c>
      <c r="CT32" s="45">
        <v>39.4</v>
      </c>
      <c r="CU32">
        <v>3</v>
      </c>
      <c r="CV32">
        <v>2</v>
      </c>
      <c r="CW32">
        <v>14</v>
      </c>
      <c r="CX32">
        <v>19</v>
      </c>
      <c r="CY32" s="45">
        <v>134.4</v>
      </c>
      <c r="CZ32" s="45">
        <v>65.2</v>
      </c>
      <c r="DA32" s="45">
        <v>308.4</v>
      </c>
      <c r="DB32" s="45">
        <v>508</v>
      </c>
      <c r="DC32">
        <v>4</v>
      </c>
      <c r="DD32">
        <v>3</v>
      </c>
      <c r="DE32">
        <v>2</v>
      </c>
      <c r="DF32">
        <v>9</v>
      </c>
      <c r="DG32" s="45">
        <v>65.5</v>
      </c>
      <c r="DH32" s="45">
        <v>43.4</v>
      </c>
      <c r="DI32" s="45">
        <v>38.9</v>
      </c>
      <c r="DJ32" s="45">
        <v>147.8</v>
      </c>
      <c r="DK32">
        <v>0</v>
      </c>
      <c r="DL32">
        <v>2</v>
      </c>
      <c r="DM32">
        <v>1</v>
      </c>
      <c r="DN32">
        <v>3</v>
      </c>
      <c r="DO32" s="45">
        <v>0</v>
      </c>
      <c r="DP32" s="45">
        <v>20.6</v>
      </c>
      <c r="DQ32" s="45">
        <v>4.2</v>
      </c>
      <c r="DR32" s="45">
        <v>24.8</v>
      </c>
      <c r="DS32">
        <v>2</v>
      </c>
      <c r="DT32">
        <v>0</v>
      </c>
      <c r="DU32">
        <v>0</v>
      </c>
      <c r="DV32">
        <v>2</v>
      </c>
      <c r="DW32" s="45">
        <v>1.1</v>
      </c>
      <c r="DX32" s="45">
        <v>0</v>
      </c>
      <c r="DY32" s="45">
        <v>0</v>
      </c>
      <c r="DZ32" s="45">
        <v>1.1</v>
      </c>
      <c r="EA32">
        <v>0</v>
      </c>
      <c r="EB32">
        <v>0</v>
      </c>
      <c r="EC32">
        <v>0</v>
      </c>
      <c r="ED32">
        <v>0</v>
      </c>
      <c r="EE32">
        <v>0</v>
      </c>
      <c r="EF32" s="45">
        <v>0</v>
      </c>
      <c r="EG32" s="45">
        <v>0</v>
      </c>
      <c r="EH32" s="45">
        <v>0</v>
      </c>
      <c r="EI32">
        <v>336</v>
      </c>
      <c r="EJ32">
        <v>135</v>
      </c>
      <c r="EK32">
        <v>51</v>
      </c>
      <c r="EL32">
        <v>522</v>
      </c>
      <c r="EM32" s="45">
        <v>321.98</v>
      </c>
      <c r="EN32" s="45">
        <v>206.34</v>
      </c>
      <c r="EO32" s="45">
        <v>362.95</v>
      </c>
      <c r="EP32">
        <v>891.27</v>
      </c>
    </row>
    <row r="33" spans="1:146" ht="9">
      <c r="A33" s="62" t="s">
        <v>49</v>
      </c>
      <c r="B33">
        <v>18</v>
      </c>
      <c r="C33">
        <v>60</v>
      </c>
      <c r="D33">
        <v>38</v>
      </c>
      <c r="E33">
        <v>17</v>
      </c>
      <c r="F33">
        <v>115</v>
      </c>
      <c r="G33" s="45">
        <v>16.16</v>
      </c>
      <c r="H33" s="45">
        <v>8.31</v>
      </c>
      <c r="I33" s="45">
        <v>5.4</v>
      </c>
      <c r="J33" s="45">
        <v>29.87</v>
      </c>
      <c r="K33">
        <v>29</v>
      </c>
      <c r="L33">
        <v>34</v>
      </c>
      <c r="M33">
        <v>13</v>
      </c>
      <c r="N33">
        <v>76</v>
      </c>
      <c r="O33" s="45">
        <v>67.1</v>
      </c>
      <c r="P33" s="45">
        <v>96.9</v>
      </c>
      <c r="Q33" s="45">
        <v>42.1</v>
      </c>
      <c r="R33" s="45">
        <v>206.1</v>
      </c>
      <c r="S33">
        <v>3</v>
      </c>
      <c r="T33">
        <v>5</v>
      </c>
      <c r="U33">
        <v>8</v>
      </c>
      <c r="V33">
        <v>16</v>
      </c>
      <c r="W33" s="45">
        <v>22.8</v>
      </c>
      <c r="X33" s="45">
        <v>30.1</v>
      </c>
      <c r="Y33" s="45">
        <v>44</v>
      </c>
      <c r="Z33" s="45">
        <v>96.9</v>
      </c>
      <c r="AA33">
        <v>5</v>
      </c>
      <c r="AB33">
        <v>2</v>
      </c>
      <c r="AC33">
        <v>13</v>
      </c>
      <c r="AD33">
        <v>20</v>
      </c>
      <c r="AE33" s="45">
        <v>104.3</v>
      </c>
      <c r="AF33" s="45">
        <v>57.6</v>
      </c>
      <c r="AG33" s="45">
        <v>330.1</v>
      </c>
      <c r="AH33" s="45">
        <v>492</v>
      </c>
      <c r="AI33">
        <v>1</v>
      </c>
      <c r="AJ33">
        <v>2</v>
      </c>
      <c r="AK33">
        <v>6</v>
      </c>
      <c r="AL33">
        <v>9</v>
      </c>
      <c r="AM33" s="45">
        <v>15.1</v>
      </c>
      <c r="AN33" s="45">
        <v>25.6</v>
      </c>
      <c r="AO33" s="45">
        <v>99.8</v>
      </c>
      <c r="AP33" s="45">
        <v>140.5</v>
      </c>
      <c r="AQ33">
        <v>0</v>
      </c>
      <c r="AR33">
        <v>0</v>
      </c>
      <c r="AS33">
        <v>15</v>
      </c>
      <c r="AT33">
        <v>15</v>
      </c>
      <c r="AU33" s="45">
        <v>0</v>
      </c>
      <c r="AV33" s="45">
        <v>0</v>
      </c>
      <c r="AW33" s="45">
        <v>298.3</v>
      </c>
      <c r="AX33" s="45">
        <v>298.3</v>
      </c>
      <c r="AY33">
        <v>1</v>
      </c>
      <c r="AZ33">
        <v>1</v>
      </c>
      <c r="BA33">
        <v>0</v>
      </c>
      <c r="BB33">
        <v>2</v>
      </c>
      <c r="BC33" s="45">
        <v>1.8</v>
      </c>
      <c r="BD33" s="45">
        <v>0.1</v>
      </c>
      <c r="BE33" s="45">
        <v>0</v>
      </c>
      <c r="BF33" s="45">
        <v>1.9</v>
      </c>
      <c r="BG33">
        <v>0</v>
      </c>
      <c r="BH33">
        <v>0</v>
      </c>
      <c r="BI33">
        <v>0</v>
      </c>
      <c r="BJ33">
        <v>0</v>
      </c>
      <c r="BK33" s="45">
        <v>0</v>
      </c>
      <c r="BL33" s="45">
        <v>0</v>
      </c>
      <c r="BM33" s="45">
        <v>0</v>
      </c>
      <c r="BN33" s="45">
        <v>0</v>
      </c>
      <c r="BO33">
        <v>99</v>
      </c>
      <c r="BP33">
        <v>82</v>
      </c>
      <c r="BQ33">
        <v>72</v>
      </c>
      <c r="BR33">
        <v>253</v>
      </c>
      <c r="BS33" s="45">
        <v>227.26</v>
      </c>
      <c r="BT33" s="45">
        <v>218.61</v>
      </c>
      <c r="BU33" s="45">
        <v>819.7</v>
      </c>
      <c r="BV33" s="45">
        <v>1265.57</v>
      </c>
      <c r="BW33">
        <v>59</v>
      </c>
      <c r="BX33">
        <v>34</v>
      </c>
      <c r="BY33">
        <v>17</v>
      </c>
      <c r="BZ33">
        <v>110</v>
      </c>
      <c r="CA33" s="45">
        <v>15.37</v>
      </c>
      <c r="CB33" s="45">
        <v>7.69</v>
      </c>
      <c r="CC33" s="45">
        <v>5.21</v>
      </c>
      <c r="CD33" s="45">
        <v>28.27</v>
      </c>
      <c r="CE33">
        <v>19</v>
      </c>
      <c r="CF33">
        <v>23</v>
      </c>
      <c r="CG33">
        <v>5</v>
      </c>
      <c r="CH33">
        <v>47</v>
      </c>
      <c r="CI33" s="45">
        <v>42.5</v>
      </c>
      <c r="CJ33" s="45">
        <v>55.6</v>
      </c>
      <c r="CK33" s="45">
        <v>12.7</v>
      </c>
      <c r="CL33" s="45">
        <v>110.8</v>
      </c>
      <c r="CM33">
        <v>3</v>
      </c>
      <c r="CN33">
        <v>6</v>
      </c>
      <c r="CO33">
        <v>5</v>
      </c>
      <c r="CP33">
        <v>14</v>
      </c>
      <c r="CQ33" s="45">
        <v>15</v>
      </c>
      <c r="CR33" s="45">
        <v>28</v>
      </c>
      <c r="CS33" s="45">
        <v>30.5</v>
      </c>
      <c r="CT33" s="45">
        <v>73.5</v>
      </c>
      <c r="CU33">
        <v>5</v>
      </c>
      <c r="CV33">
        <v>2</v>
      </c>
      <c r="CW33">
        <v>12</v>
      </c>
      <c r="CX33">
        <v>19</v>
      </c>
      <c r="CY33" s="45">
        <v>84.1</v>
      </c>
      <c r="CZ33" s="45">
        <v>43.6</v>
      </c>
      <c r="DA33" s="45">
        <v>202</v>
      </c>
      <c r="DB33" s="45">
        <v>329.7</v>
      </c>
      <c r="DC33">
        <v>1</v>
      </c>
      <c r="DD33">
        <v>2</v>
      </c>
      <c r="DE33">
        <v>5</v>
      </c>
      <c r="DF33">
        <v>8</v>
      </c>
      <c r="DG33" s="45">
        <v>15.1</v>
      </c>
      <c r="DH33" s="45">
        <v>16.4</v>
      </c>
      <c r="DI33" s="45">
        <v>83.5</v>
      </c>
      <c r="DJ33" s="45">
        <v>115</v>
      </c>
      <c r="DK33">
        <v>0</v>
      </c>
      <c r="DL33">
        <v>0</v>
      </c>
      <c r="DM33">
        <v>6</v>
      </c>
      <c r="DN33">
        <v>6</v>
      </c>
      <c r="DO33" s="45">
        <v>0</v>
      </c>
      <c r="DP33" s="45">
        <v>0</v>
      </c>
      <c r="DQ33" s="45">
        <v>85.9</v>
      </c>
      <c r="DR33" s="45">
        <v>85.9</v>
      </c>
      <c r="DS33">
        <v>1</v>
      </c>
      <c r="DT33">
        <v>1</v>
      </c>
      <c r="DU33">
        <v>0</v>
      </c>
      <c r="DV33">
        <v>2</v>
      </c>
      <c r="DW33" s="45">
        <v>1.5</v>
      </c>
      <c r="DX33" s="45">
        <v>0.1</v>
      </c>
      <c r="DY33" s="45">
        <v>0</v>
      </c>
      <c r="DZ33" s="45">
        <v>1.6</v>
      </c>
      <c r="EA33">
        <v>0</v>
      </c>
      <c r="EB33">
        <v>0</v>
      </c>
      <c r="EC33">
        <v>0</v>
      </c>
      <c r="ED33">
        <v>0</v>
      </c>
      <c r="EE33">
        <v>0</v>
      </c>
      <c r="EF33" s="45">
        <v>0</v>
      </c>
      <c r="EG33" s="45">
        <v>0</v>
      </c>
      <c r="EH33" s="45">
        <v>0</v>
      </c>
      <c r="EI33">
        <v>88</v>
      </c>
      <c r="EJ33">
        <v>68</v>
      </c>
      <c r="EK33">
        <v>50</v>
      </c>
      <c r="EL33">
        <v>206</v>
      </c>
      <c r="EM33" s="45">
        <v>173.57</v>
      </c>
      <c r="EN33" s="45">
        <v>151.39</v>
      </c>
      <c r="EO33" s="45">
        <v>419.81</v>
      </c>
      <c r="EP33">
        <v>744.77</v>
      </c>
    </row>
    <row r="34" spans="1:146" ht="9">
      <c r="A34" s="62" t="s">
        <v>50</v>
      </c>
      <c r="B34">
        <v>22</v>
      </c>
      <c r="C34">
        <v>409</v>
      </c>
      <c r="D34">
        <v>54</v>
      </c>
      <c r="E34">
        <v>31</v>
      </c>
      <c r="F34">
        <v>494</v>
      </c>
      <c r="G34" s="45">
        <v>111.33</v>
      </c>
      <c r="H34" s="45">
        <v>19.51</v>
      </c>
      <c r="I34" s="45">
        <v>10.06</v>
      </c>
      <c r="J34" s="45">
        <v>140.9</v>
      </c>
      <c r="K34">
        <v>37</v>
      </c>
      <c r="L34">
        <v>15</v>
      </c>
      <c r="M34">
        <v>3</v>
      </c>
      <c r="N34">
        <v>55</v>
      </c>
      <c r="O34" s="45">
        <v>72.2</v>
      </c>
      <c r="P34" s="45">
        <v>32.6</v>
      </c>
      <c r="Q34" s="45">
        <v>5.9</v>
      </c>
      <c r="R34" s="45">
        <v>110.7</v>
      </c>
      <c r="S34">
        <v>11</v>
      </c>
      <c r="T34">
        <v>5</v>
      </c>
      <c r="U34">
        <v>11</v>
      </c>
      <c r="V34">
        <v>27</v>
      </c>
      <c r="W34" s="45">
        <v>52.9</v>
      </c>
      <c r="X34" s="45">
        <v>22.8</v>
      </c>
      <c r="Y34" s="45">
        <v>68.7</v>
      </c>
      <c r="Z34" s="45">
        <v>144.4</v>
      </c>
      <c r="AA34">
        <v>9</v>
      </c>
      <c r="AB34">
        <v>3</v>
      </c>
      <c r="AC34">
        <v>10</v>
      </c>
      <c r="AD34">
        <v>22</v>
      </c>
      <c r="AE34" s="45">
        <v>173.1</v>
      </c>
      <c r="AF34" s="45">
        <v>89.4</v>
      </c>
      <c r="AG34" s="45">
        <v>260.8</v>
      </c>
      <c r="AH34" s="45">
        <v>523.3</v>
      </c>
      <c r="AI34">
        <v>3</v>
      </c>
      <c r="AJ34">
        <v>0</v>
      </c>
      <c r="AK34">
        <v>6</v>
      </c>
      <c r="AL34">
        <v>9</v>
      </c>
      <c r="AM34" s="45">
        <v>57.6</v>
      </c>
      <c r="AN34" s="45">
        <v>0</v>
      </c>
      <c r="AO34" s="45">
        <v>115.7</v>
      </c>
      <c r="AP34" s="45">
        <v>173.3</v>
      </c>
      <c r="AQ34">
        <v>0</v>
      </c>
      <c r="AR34">
        <v>1</v>
      </c>
      <c r="AS34">
        <v>9</v>
      </c>
      <c r="AT34">
        <v>10</v>
      </c>
      <c r="AU34" s="45">
        <v>0</v>
      </c>
      <c r="AV34" s="45">
        <v>6.2</v>
      </c>
      <c r="AW34" s="45">
        <v>118.4</v>
      </c>
      <c r="AX34" s="45">
        <v>124.6</v>
      </c>
      <c r="AY34">
        <v>3</v>
      </c>
      <c r="AZ34">
        <v>1</v>
      </c>
      <c r="BA34">
        <v>0</v>
      </c>
      <c r="BB34">
        <v>4</v>
      </c>
      <c r="BC34" s="45">
        <v>6.1</v>
      </c>
      <c r="BD34" s="45">
        <v>6</v>
      </c>
      <c r="BE34" s="45">
        <v>0</v>
      </c>
      <c r="BF34" s="45">
        <v>12.1</v>
      </c>
      <c r="BG34">
        <v>0</v>
      </c>
      <c r="BH34">
        <v>0</v>
      </c>
      <c r="BI34">
        <v>5</v>
      </c>
      <c r="BJ34">
        <v>5</v>
      </c>
      <c r="BK34" s="45">
        <v>0</v>
      </c>
      <c r="BL34" s="45">
        <v>0</v>
      </c>
      <c r="BM34" s="45">
        <v>507.8</v>
      </c>
      <c r="BN34" s="45">
        <v>507.8</v>
      </c>
      <c r="BO34">
        <v>472</v>
      </c>
      <c r="BP34">
        <v>79</v>
      </c>
      <c r="BQ34">
        <v>75</v>
      </c>
      <c r="BR34">
        <v>626</v>
      </c>
      <c r="BS34" s="45">
        <v>473.23</v>
      </c>
      <c r="BT34" s="45">
        <v>176.51</v>
      </c>
      <c r="BU34" s="45">
        <v>1087.36</v>
      </c>
      <c r="BV34" s="45">
        <v>1737.1</v>
      </c>
      <c r="BW34">
        <v>403</v>
      </c>
      <c r="BX34">
        <v>52</v>
      </c>
      <c r="BY34">
        <v>31</v>
      </c>
      <c r="BZ34">
        <v>486</v>
      </c>
      <c r="CA34" s="45">
        <v>109.05</v>
      </c>
      <c r="CB34" s="45">
        <v>18.72</v>
      </c>
      <c r="CC34" s="45">
        <v>10.01</v>
      </c>
      <c r="CD34" s="45">
        <v>137.78</v>
      </c>
      <c r="CE34">
        <v>37</v>
      </c>
      <c r="CF34">
        <v>14</v>
      </c>
      <c r="CG34">
        <v>4</v>
      </c>
      <c r="CH34">
        <v>55</v>
      </c>
      <c r="CI34" s="45">
        <v>68.3</v>
      </c>
      <c r="CJ34" s="45">
        <v>30.3</v>
      </c>
      <c r="CK34" s="45">
        <v>8.26</v>
      </c>
      <c r="CL34" s="45">
        <v>106.86</v>
      </c>
      <c r="CM34">
        <v>10</v>
      </c>
      <c r="CN34">
        <v>5</v>
      </c>
      <c r="CO34">
        <v>11</v>
      </c>
      <c r="CP34">
        <v>26</v>
      </c>
      <c r="CQ34" s="45">
        <v>45.8</v>
      </c>
      <c r="CR34" s="45">
        <v>22.7</v>
      </c>
      <c r="CS34" s="45">
        <v>60.41</v>
      </c>
      <c r="CT34" s="45">
        <v>128.91</v>
      </c>
      <c r="CU34">
        <v>8</v>
      </c>
      <c r="CV34">
        <v>3</v>
      </c>
      <c r="CW34">
        <v>8</v>
      </c>
      <c r="CX34">
        <v>19</v>
      </c>
      <c r="CY34" s="45">
        <v>142.3</v>
      </c>
      <c r="CZ34" s="45">
        <v>84.2</v>
      </c>
      <c r="DA34" s="45">
        <v>111</v>
      </c>
      <c r="DB34" s="45">
        <v>337.5</v>
      </c>
      <c r="DC34">
        <v>3</v>
      </c>
      <c r="DD34">
        <v>0</v>
      </c>
      <c r="DE34">
        <v>6</v>
      </c>
      <c r="DF34">
        <v>9</v>
      </c>
      <c r="DG34" s="45">
        <v>55.5</v>
      </c>
      <c r="DH34" s="45">
        <v>0</v>
      </c>
      <c r="DI34" s="45">
        <v>85.3</v>
      </c>
      <c r="DJ34" s="45">
        <v>140.8</v>
      </c>
      <c r="DK34">
        <v>0</v>
      </c>
      <c r="DL34">
        <v>1</v>
      </c>
      <c r="DM34">
        <v>9</v>
      </c>
      <c r="DN34">
        <v>10</v>
      </c>
      <c r="DO34" s="45">
        <v>0</v>
      </c>
      <c r="DP34" s="45">
        <v>6.2</v>
      </c>
      <c r="DQ34" s="45">
        <v>104</v>
      </c>
      <c r="DR34" s="45">
        <v>110.2</v>
      </c>
      <c r="DS34">
        <v>3</v>
      </c>
      <c r="DT34">
        <v>0</v>
      </c>
      <c r="DU34">
        <v>0</v>
      </c>
      <c r="DV34">
        <v>3</v>
      </c>
      <c r="DW34" s="45">
        <v>5.9</v>
      </c>
      <c r="DX34" s="45">
        <v>0</v>
      </c>
      <c r="DY34" s="45">
        <v>0</v>
      </c>
      <c r="DZ34" s="45">
        <v>5.9</v>
      </c>
      <c r="EA34">
        <v>0</v>
      </c>
      <c r="EB34">
        <v>0</v>
      </c>
      <c r="EC34">
        <v>4</v>
      </c>
      <c r="ED34">
        <v>4</v>
      </c>
      <c r="EE34">
        <v>0</v>
      </c>
      <c r="EF34" s="45">
        <v>0</v>
      </c>
      <c r="EG34" s="45">
        <v>248.2</v>
      </c>
      <c r="EH34" s="45">
        <v>248.2</v>
      </c>
      <c r="EI34">
        <v>464</v>
      </c>
      <c r="EJ34">
        <v>75</v>
      </c>
      <c r="EK34">
        <v>73</v>
      </c>
      <c r="EL34">
        <v>612</v>
      </c>
      <c r="EM34" s="45">
        <v>426.85</v>
      </c>
      <c r="EN34" s="45">
        <v>162.12</v>
      </c>
      <c r="EO34" s="45">
        <v>627.18</v>
      </c>
      <c r="EP34">
        <v>1216.15</v>
      </c>
    </row>
    <row r="35" spans="1:146" ht="9">
      <c r="A35" s="62" t="s">
        <v>51</v>
      </c>
      <c r="B35">
        <v>39</v>
      </c>
      <c r="C35">
        <v>1720</v>
      </c>
      <c r="D35">
        <v>50</v>
      </c>
      <c r="E35">
        <v>3</v>
      </c>
      <c r="F35">
        <v>1773</v>
      </c>
      <c r="G35" s="45">
        <v>464.47</v>
      </c>
      <c r="H35" s="45">
        <v>15.15</v>
      </c>
      <c r="I35" s="45">
        <v>0.65</v>
      </c>
      <c r="J35" s="45">
        <v>480.27</v>
      </c>
      <c r="K35">
        <v>325</v>
      </c>
      <c r="L35">
        <v>30</v>
      </c>
      <c r="M35">
        <v>11</v>
      </c>
      <c r="N35">
        <v>366</v>
      </c>
      <c r="O35" s="45">
        <v>623.3</v>
      </c>
      <c r="P35" s="45">
        <v>59</v>
      </c>
      <c r="Q35" s="45">
        <v>22</v>
      </c>
      <c r="R35" s="45">
        <v>704.3</v>
      </c>
      <c r="S35">
        <v>69</v>
      </c>
      <c r="T35">
        <v>4</v>
      </c>
      <c r="U35">
        <v>9</v>
      </c>
      <c r="V35">
        <v>82</v>
      </c>
      <c r="W35" s="45">
        <v>348</v>
      </c>
      <c r="X35" s="45">
        <v>22.3</v>
      </c>
      <c r="Y35" s="45">
        <v>48.1</v>
      </c>
      <c r="Z35" s="45">
        <v>418.4</v>
      </c>
      <c r="AA35">
        <v>34</v>
      </c>
      <c r="AB35">
        <v>2</v>
      </c>
      <c r="AC35">
        <v>3</v>
      </c>
      <c r="AD35">
        <v>39</v>
      </c>
      <c r="AE35" s="45">
        <v>653.3</v>
      </c>
      <c r="AF35" s="45">
        <v>108.3</v>
      </c>
      <c r="AG35" s="45">
        <v>104.1</v>
      </c>
      <c r="AH35" s="45">
        <v>865.7</v>
      </c>
      <c r="AI35">
        <v>3</v>
      </c>
      <c r="AJ35">
        <v>0</v>
      </c>
      <c r="AK35">
        <v>0</v>
      </c>
      <c r="AL35">
        <v>3</v>
      </c>
      <c r="AM35" s="45">
        <v>100.6</v>
      </c>
      <c r="AN35" s="45">
        <v>0</v>
      </c>
      <c r="AO35" s="45">
        <v>0</v>
      </c>
      <c r="AP35" s="45">
        <v>100.6</v>
      </c>
      <c r="AQ35">
        <v>9</v>
      </c>
      <c r="AR35">
        <v>2</v>
      </c>
      <c r="AS35">
        <v>5</v>
      </c>
      <c r="AT35">
        <v>16</v>
      </c>
      <c r="AU35" s="45">
        <v>141.7</v>
      </c>
      <c r="AV35" s="45">
        <v>40.5</v>
      </c>
      <c r="AW35" s="45">
        <v>165.6</v>
      </c>
      <c r="AX35" s="45">
        <v>347.8</v>
      </c>
      <c r="AY35">
        <v>6</v>
      </c>
      <c r="AZ35">
        <v>1</v>
      </c>
      <c r="BA35">
        <v>0</v>
      </c>
      <c r="BB35">
        <v>7</v>
      </c>
      <c r="BC35" s="45">
        <v>151.8</v>
      </c>
      <c r="BD35" s="45">
        <v>4.6</v>
      </c>
      <c r="BE35" s="45">
        <v>0</v>
      </c>
      <c r="BF35" s="45">
        <v>156.4</v>
      </c>
      <c r="BG35">
        <v>4</v>
      </c>
      <c r="BH35">
        <v>0</v>
      </c>
      <c r="BI35">
        <v>5</v>
      </c>
      <c r="BJ35">
        <v>9</v>
      </c>
      <c r="BK35" s="45">
        <v>234.8</v>
      </c>
      <c r="BL35" s="45">
        <v>0</v>
      </c>
      <c r="BM35" s="45">
        <v>357.9</v>
      </c>
      <c r="BN35" s="45">
        <v>592.7</v>
      </c>
      <c r="BO35">
        <v>2170</v>
      </c>
      <c r="BP35">
        <v>89</v>
      </c>
      <c r="BQ35">
        <v>36</v>
      </c>
      <c r="BR35">
        <v>2295</v>
      </c>
      <c r="BS35" s="45">
        <v>2717.97</v>
      </c>
      <c r="BT35" s="45">
        <v>249.85</v>
      </c>
      <c r="BU35" s="45">
        <v>698.35</v>
      </c>
      <c r="BV35" s="45">
        <v>3666.17</v>
      </c>
      <c r="BW35">
        <v>1620</v>
      </c>
      <c r="BX35">
        <v>47</v>
      </c>
      <c r="BY35">
        <v>3</v>
      </c>
      <c r="BZ35">
        <v>1670</v>
      </c>
      <c r="CA35" s="45">
        <v>429.55</v>
      </c>
      <c r="CB35" s="45">
        <v>13.49</v>
      </c>
      <c r="CC35" s="45">
        <v>0.65</v>
      </c>
      <c r="CD35" s="45">
        <v>443.69</v>
      </c>
      <c r="CE35">
        <v>274</v>
      </c>
      <c r="CF35">
        <v>16</v>
      </c>
      <c r="CG35">
        <v>2</v>
      </c>
      <c r="CH35">
        <v>292</v>
      </c>
      <c r="CI35" s="45">
        <v>448.5</v>
      </c>
      <c r="CJ35" s="45">
        <v>27.4</v>
      </c>
      <c r="CK35" s="45">
        <v>4.9</v>
      </c>
      <c r="CL35" s="45">
        <v>480.8</v>
      </c>
      <c r="CM35">
        <v>58</v>
      </c>
      <c r="CN35">
        <v>3</v>
      </c>
      <c r="CO35">
        <v>4</v>
      </c>
      <c r="CP35">
        <v>65</v>
      </c>
      <c r="CQ35" s="45">
        <v>244.7</v>
      </c>
      <c r="CR35" s="45">
        <v>10.2</v>
      </c>
      <c r="CS35" s="45">
        <v>15.8</v>
      </c>
      <c r="CT35" s="45">
        <v>270.7</v>
      </c>
      <c r="CU35">
        <v>30</v>
      </c>
      <c r="CV35">
        <v>1</v>
      </c>
      <c r="CW35">
        <v>2</v>
      </c>
      <c r="CX35">
        <v>33</v>
      </c>
      <c r="CY35" s="45">
        <v>387.6</v>
      </c>
      <c r="CZ35" s="45">
        <v>33.4</v>
      </c>
      <c r="DA35" s="45">
        <v>37.6</v>
      </c>
      <c r="DB35" s="45">
        <v>458.6</v>
      </c>
      <c r="DC35">
        <v>3</v>
      </c>
      <c r="DD35">
        <v>0</v>
      </c>
      <c r="DE35">
        <v>0</v>
      </c>
      <c r="DF35">
        <v>3</v>
      </c>
      <c r="DG35" s="45">
        <v>90.8</v>
      </c>
      <c r="DH35" s="45">
        <v>0</v>
      </c>
      <c r="DI35" s="45">
        <v>0</v>
      </c>
      <c r="DJ35" s="45">
        <v>90.8</v>
      </c>
      <c r="DK35">
        <v>8</v>
      </c>
      <c r="DL35">
        <v>2</v>
      </c>
      <c r="DM35">
        <v>2</v>
      </c>
      <c r="DN35">
        <v>12</v>
      </c>
      <c r="DO35" s="45">
        <v>55.3</v>
      </c>
      <c r="DP35" s="45">
        <v>2.1</v>
      </c>
      <c r="DQ35" s="45">
        <v>79.2</v>
      </c>
      <c r="DR35" s="45">
        <v>136.6</v>
      </c>
      <c r="DS35">
        <v>5</v>
      </c>
      <c r="DT35">
        <v>0</v>
      </c>
      <c r="DU35">
        <v>0</v>
      </c>
      <c r="DV35">
        <v>5</v>
      </c>
      <c r="DW35" s="45">
        <v>140.1</v>
      </c>
      <c r="DX35" s="45">
        <v>0</v>
      </c>
      <c r="DY35" s="45">
        <v>0</v>
      </c>
      <c r="DZ35" s="45">
        <v>140.1</v>
      </c>
      <c r="EA35">
        <v>4</v>
      </c>
      <c r="EB35">
        <v>0</v>
      </c>
      <c r="EC35">
        <v>4</v>
      </c>
      <c r="ED35">
        <v>8</v>
      </c>
      <c r="EE35">
        <v>233.4</v>
      </c>
      <c r="EF35" s="45">
        <v>0</v>
      </c>
      <c r="EG35" s="45">
        <v>257.3</v>
      </c>
      <c r="EH35" s="45">
        <v>490.7</v>
      </c>
      <c r="EI35">
        <v>2002</v>
      </c>
      <c r="EJ35">
        <v>69</v>
      </c>
      <c r="EK35">
        <v>17</v>
      </c>
      <c r="EL35">
        <v>2088</v>
      </c>
      <c r="EM35" s="45">
        <v>2029.95</v>
      </c>
      <c r="EN35" s="45">
        <v>86.59</v>
      </c>
      <c r="EO35" s="45">
        <v>395.45</v>
      </c>
      <c r="EP35">
        <v>2511.99</v>
      </c>
    </row>
    <row r="36" spans="1:146" ht="9">
      <c r="A36" s="62" t="s">
        <v>52</v>
      </c>
      <c r="B36">
        <v>37</v>
      </c>
      <c r="C36">
        <v>1271</v>
      </c>
      <c r="D36">
        <v>316</v>
      </c>
      <c r="E36">
        <v>67</v>
      </c>
      <c r="F36">
        <v>1654</v>
      </c>
      <c r="G36" s="45">
        <v>301.23</v>
      </c>
      <c r="H36" s="45">
        <v>79.05</v>
      </c>
      <c r="I36" s="45">
        <v>16.27</v>
      </c>
      <c r="J36" s="45">
        <v>396.55</v>
      </c>
      <c r="K36">
        <v>189</v>
      </c>
      <c r="L36">
        <v>69</v>
      </c>
      <c r="M36">
        <v>29</v>
      </c>
      <c r="N36">
        <v>287</v>
      </c>
      <c r="O36" s="45">
        <v>360.3</v>
      </c>
      <c r="P36" s="45">
        <v>183.7</v>
      </c>
      <c r="Q36" s="45">
        <v>63.8</v>
      </c>
      <c r="R36" s="45">
        <v>607.8</v>
      </c>
      <c r="S36">
        <v>41</v>
      </c>
      <c r="T36">
        <v>19</v>
      </c>
      <c r="U36">
        <v>16</v>
      </c>
      <c r="V36">
        <v>76</v>
      </c>
      <c r="W36" s="45">
        <v>234.1</v>
      </c>
      <c r="X36" s="45">
        <v>143.3</v>
      </c>
      <c r="Y36" s="45">
        <v>147.1</v>
      </c>
      <c r="Z36" s="45">
        <v>524.5</v>
      </c>
      <c r="AA36">
        <v>21</v>
      </c>
      <c r="AB36">
        <v>13</v>
      </c>
      <c r="AC36">
        <v>27</v>
      </c>
      <c r="AD36">
        <v>61</v>
      </c>
      <c r="AE36" s="45">
        <v>415.5</v>
      </c>
      <c r="AF36" s="45">
        <v>267.1</v>
      </c>
      <c r="AG36" s="45">
        <v>815.1</v>
      </c>
      <c r="AH36" s="45">
        <v>1497.7</v>
      </c>
      <c r="AI36">
        <v>6</v>
      </c>
      <c r="AJ36">
        <v>4</v>
      </c>
      <c r="AK36">
        <v>4</v>
      </c>
      <c r="AL36">
        <v>14</v>
      </c>
      <c r="AM36" s="45">
        <v>86.7</v>
      </c>
      <c r="AN36" s="45">
        <v>117.6</v>
      </c>
      <c r="AO36" s="45">
        <v>105</v>
      </c>
      <c r="AP36" s="45">
        <v>309.3</v>
      </c>
      <c r="AQ36">
        <v>11</v>
      </c>
      <c r="AR36">
        <v>3</v>
      </c>
      <c r="AS36">
        <v>9</v>
      </c>
      <c r="AT36">
        <v>23</v>
      </c>
      <c r="AU36" s="45">
        <v>50</v>
      </c>
      <c r="AV36" s="45">
        <v>52.1</v>
      </c>
      <c r="AW36" s="45">
        <v>406.7</v>
      </c>
      <c r="AX36" s="45">
        <v>508.8</v>
      </c>
      <c r="AY36">
        <v>3</v>
      </c>
      <c r="AZ36">
        <v>1</v>
      </c>
      <c r="BA36">
        <v>1</v>
      </c>
      <c r="BB36">
        <v>5</v>
      </c>
      <c r="BC36" s="45">
        <v>3.6</v>
      </c>
      <c r="BD36" s="45">
        <v>2.4</v>
      </c>
      <c r="BE36" s="45">
        <v>3.9</v>
      </c>
      <c r="BF36" s="45">
        <v>9.9</v>
      </c>
      <c r="BG36">
        <v>1</v>
      </c>
      <c r="BH36">
        <v>1</v>
      </c>
      <c r="BI36">
        <v>11</v>
      </c>
      <c r="BJ36">
        <v>13</v>
      </c>
      <c r="BK36" s="45">
        <v>54.8</v>
      </c>
      <c r="BL36" s="45">
        <v>0.3</v>
      </c>
      <c r="BM36" s="45">
        <v>2312.9</v>
      </c>
      <c r="BN36" s="45">
        <v>2368</v>
      </c>
      <c r="BO36">
        <v>1543</v>
      </c>
      <c r="BP36">
        <v>426</v>
      </c>
      <c r="BQ36">
        <v>164</v>
      </c>
      <c r="BR36">
        <v>2133</v>
      </c>
      <c r="BS36" s="45">
        <v>1506.23</v>
      </c>
      <c r="BT36" s="45">
        <v>845.55</v>
      </c>
      <c r="BU36" s="45">
        <v>3870.77</v>
      </c>
      <c r="BV36" s="45">
        <v>6222.55</v>
      </c>
      <c r="BW36">
        <v>1218</v>
      </c>
      <c r="BX36">
        <v>267</v>
      </c>
      <c r="BY36">
        <v>70</v>
      </c>
      <c r="BZ36">
        <v>1555</v>
      </c>
      <c r="CA36" s="45">
        <v>281.2</v>
      </c>
      <c r="CB36" s="45">
        <v>65.22</v>
      </c>
      <c r="CC36" s="45">
        <v>15.3</v>
      </c>
      <c r="CD36" s="45">
        <v>361.72</v>
      </c>
      <c r="CE36">
        <v>167</v>
      </c>
      <c r="CF36">
        <v>53</v>
      </c>
      <c r="CG36">
        <v>13</v>
      </c>
      <c r="CH36">
        <v>233</v>
      </c>
      <c r="CI36" s="45">
        <v>287.5</v>
      </c>
      <c r="CJ36" s="45">
        <v>145.9</v>
      </c>
      <c r="CK36" s="45">
        <v>20.8</v>
      </c>
      <c r="CL36" s="45">
        <v>454.2</v>
      </c>
      <c r="CM36">
        <v>37</v>
      </c>
      <c r="CN36">
        <v>17</v>
      </c>
      <c r="CO36">
        <v>10</v>
      </c>
      <c r="CP36">
        <v>64</v>
      </c>
      <c r="CQ36" s="45">
        <v>181.3</v>
      </c>
      <c r="CR36" s="45">
        <v>117.8</v>
      </c>
      <c r="CS36" s="45">
        <v>37.6</v>
      </c>
      <c r="CT36" s="45">
        <v>336.7</v>
      </c>
      <c r="CU36">
        <v>21</v>
      </c>
      <c r="CV36">
        <v>12</v>
      </c>
      <c r="CW36">
        <v>24</v>
      </c>
      <c r="CX36">
        <v>57</v>
      </c>
      <c r="CY36" s="45">
        <v>303.1</v>
      </c>
      <c r="CZ36" s="45">
        <v>200.9</v>
      </c>
      <c r="DA36" s="45">
        <v>463.8</v>
      </c>
      <c r="DB36" s="45">
        <v>967.8</v>
      </c>
      <c r="DC36">
        <v>5</v>
      </c>
      <c r="DD36">
        <v>4</v>
      </c>
      <c r="DE36">
        <v>4</v>
      </c>
      <c r="DF36">
        <v>13</v>
      </c>
      <c r="DG36" s="45">
        <v>51.5</v>
      </c>
      <c r="DH36" s="45">
        <v>84.4</v>
      </c>
      <c r="DI36" s="45">
        <v>68.5</v>
      </c>
      <c r="DJ36" s="45">
        <v>204.4</v>
      </c>
      <c r="DK36">
        <v>10</v>
      </c>
      <c r="DL36">
        <v>1</v>
      </c>
      <c r="DM36">
        <v>9</v>
      </c>
      <c r="DN36">
        <v>20</v>
      </c>
      <c r="DO36" s="45">
        <v>38.4</v>
      </c>
      <c r="DP36" s="45">
        <v>5.9</v>
      </c>
      <c r="DQ36" s="45">
        <v>65.1</v>
      </c>
      <c r="DR36" s="45">
        <v>109.4</v>
      </c>
      <c r="DS36">
        <v>3</v>
      </c>
      <c r="DT36">
        <v>0</v>
      </c>
      <c r="DU36">
        <v>1</v>
      </c>
      <c r="DV36">
        <v>4</v>
      </c>
      <c r="DW36" s="45">
        <v>3.6</v>
      </c>
      <c r="DX36" s="45">
        <v>0</v>
      </c>
      <c r="DY36" s="45">
        <v>3.8</v>
      </c>
      <c r="DZ36" s="45">
        <v>7.4</v>
      </c>
      <c r="EA36">
        <v>1</v>
      </c>
      <c r="EB36">
        <v>1</v>
      </c>
      <c r="EC36">
        <v>11</v>
      </c>
      <c r="ED36">
        <v>13</v>
      </c>
      <c r="EE36">
        <v>54.8</v>
      </c>
      <c r="EF36" s="45">
        <v>0.3</v>
      </c>
      <c r="EG36" s="45">
        <v>1283.3</v>
      </c>
      <c r="EH36" s="45">
        <v>1338.4</v>
      </c>
      <c r="EI36">
        <v>1462</v>
      </c>
      <c r="EJ36">
        <v>355</v>
      </c>
      <c r="EK36">
        <v>142</v>
      </c>
      <c r="EL36">
        <v>1959</v>
      </c>
      <c r="EM36" s="45">
        <v>1201.4</v>
      </c>
      <c r="EN36" s="45">
        <v>620.42</v>
      </c>
      <c r="EO36" s="45">
        <v>1958.2</v>
      </c>
      <c r="EP36">
        <v>3780.02</v>
      </c>
    </row>
    <row r="37" spans="1:146" ht="9">
      <c r="A37" s="62" t="s">
        <v>53</v>
      </c>
      <c r="B37">
        <v>28</v>
      </c>
      <c r="C37">
        <v>90</v>
      </c>
      <c r="D37">
        <v>65</v>
      </c>
      <c r="E37">
        <v>13</v>
      </c>
      <c r="F37">
        <v>168</v>
      </c>
      <c r="G37" s="45">
        <v>23.89</v>
      </c>
      <c r="H37" s="45">
        <v>18.15</v>
      </c>
      <c r="I37" s="45">
        <v>3.96</v>
      </c>
      <c r="J37" s="45">
        <v>46</v>
      </c>
      <c r="K37">
        <v>27</v>
      </c>
      <c r="L37">
        <v>19</v>
      </c>
      <c r="M37">
        <v>10</v>
      </c>
      <c r="N37">
        <v>56</v>
      </c>
      <c r="O37" s="45">
        <v>52.2</v>
      </c>
      <c r="P37" s="45">
        <v>36.9</v>
      </c>
      <c r="Q37" s="45">
        <v>20.3</v>
      </c>
      <c r="R37" s="45">
        <v>109.4</v>
      </c>
      <c r="S37">
        <v>8</v>
      </c>
      <c r="T37">
        <v>6</v>
      </c>
      <c r="U37">
        <v>9</v>
      </c>
      <c r="V37">
        <v>23</v>
      </c>
      <c r="W37" s="45">
        <v>41</v>
      </c>
      <c r="X37" s="45">
        <v>38.9</v>
      </c>
      <c r="Y37" s="45">
        <v>52.3</v>
      </c>
      <c r="Z37" s="45">
        <v>132.2</v>
      </c>
      <c r="AA37">
        <v>2</v>
      </c>
      <c r="AB37">
        <v>2</v>
      </c>
      <c r="AC37">
        <v>10</v>
      </c>
      <c r="AD37">
        <v>14</v>
      </c>
      <c r="AE37" s="45">
        <v>35.9</v>
      </c>
      <c r="AF37" s="45">
        <v>12.9</v>
      </c>
      <c r="AG37" s="45">
        <v>212.6</v>
      </c>
      <c r="AH37" s="45">
        <v>261.4</v>
      </c>
      <c r="AI37">
        <v>1</v>
      </c>
      <c r="AJ37">
        <v>1</v>
      </c>
      <c r="AK37">
        <v>4</v>
      </c>
      <c r="AL37">
        <v>6</v>
      </c>
      <c r="AM37" s="45">
        <v>31</v>
      </c>
      <c r="AN37" s="45">
        <v>10.3</v>
      </c>
      <c r="AO37" s="45">
        <v>56</v>
      </c>
      <c r="AP37" s="45">
        <v>97.3</v>
      </c>
      <c r="AQ37">
        <v>0</v>
      </c>
      <c r="AR37">
        <v>0</v>
      </c>
      <c r="AS37">
        <v>4</v>
      </c>
      <c r="AT37">
        <v>4</v>
      </c>
      <c r="AU37" s="45">
        <v>0</v>
      </c>
      <c r="AV37" s="45">
        <v>0</v>
      </c>
      <c r="AW37" s="45">
        <v>29.3</v>
      </c>
      <c r="AX37" s="45">
        <v>29.3</v>
      </c>
      <c r="AY37">
        <v>1</v>
      </c>
      <c r="AZ37">
        <v>0</v>
      </c>
      <c r="BA37">
        <v>3</v>
      </c>
      <c r="BB37">
        <v>4</v>
      </c>
      <c r="BC37" s="45">
        <v>17.2</v>
      </c>
      <c r="BD37" s="45">
        <v>0</v>
      </c>
      <c r="BE37" s="45">
        <v>194</v>
      </c>
      <c r="BF37" s="45">
        <v>211.2</v>
      </c>
      <c r="BG37">
        <v>0</v>
      </c>
      <c r="BH37">
        <v>0</v>
      </c>
      <c r="BI37">
        <v>2</v>
      </c>
      <c r="BJ37">
        <v>2</v>
      </c>
      <c r="BK37" s="45">
        <v>0</v>
      </c>
      <c r="BL37" s="45">
        <v>0</v>
      </c>
      <c r="BM37" s="45">
        <v>710.3</v>
      </c>
      <c r="BN37" s="45">
        <v>710.3</v>
      </c>
      <c r="BO37">
        <v>129</v>
      </c>
      <c r="BP37">
        <v>93</v>
      </c>
      <c r="BQ37">
        <v>55</v>
      </c>
      <c r="BR37">
        <v>277</v>
      </c>
      <c r="BS37" s="45">
        <v>201.19</v>
      </c>
      <c r="BT37" s="45">
        <v>117.15</v>
      </c>
      <c r="BU37" s="45">
        <v>1278.76</v>
      </c>
      <c r="BV37" s="45">
        <v>1597.1</v>
      </c>
      <c r="BW37">
        <v>87</v>
      </c>
      <c r="BX37">
        <v>66</v>
      </c>
      <c r="BY37">
        <v>14</v>
      </c>
      <c r="BZ37">
        <v>167</v>
      </c>
      <c r="CA37" s="45">
        <v>21.1</v>
      </c>
      <c r="CB37" s="45">
        <v>17.28</v>
      </c>
      <c r="CC37" s="45">
        <v>3.86</v>
      </c>
      <c r="CD37" s="45">
        <v>42.24</v>
      </c>
      <c r="CE37">
        <v>26</v>
      </c>
      <c r="CF37">
        <v>19</v>
      </c>
      <c r="CG37">
        <v>10</v>
      </c>
      <c r="CH37">
        <v>55</v>
      </c>
      <c r="CI37" s="45">
        <v>48</v>
      </c>
      <c r="CJ37" s="45">
        <v>36.5</v>
      </c>
      <c r="CK37" s="45">
        <v>20.3</v>
      </c>
      <c r="CL37" s="45">
        <v>104.8</v>
      </c>
      <c r="CM37">
        <v>7</v>
      </c>
      <c r="CN37">
        <v>6</v>
      </c>
      <c r="CO37">
        <v>9</v>
      </c>
      <c r="CP37">
        <v>22</v>
      </c>
      <c r="CQ37" s="45">
        <v>30.3</v>
      </c>
      <c r="CR37" s="45">
        <v>35.5</v>
      </c>
      <c r="CS37" s="45">
        <v>49.5</v>
      </c>
      <c r="CT37" s="45">
        <v>115.3</v>
      </c>
      <c r="CU37">
        <v>2</v>
      </c>
      <c r="CV37">
        <v>2</v>
      </c>
      <c r="CW37">
        <v>9</v>
      </c>
      <c r="CX37">
        <v>13</v>
      </c>
      <c r="CY37" s="45">
        <v>33.8</v>
      </c>
      <c r="CZ37" s="45">
        <v>3.9</v>
      </c>
      <c r="DA37" s="45">
        <v>134.9</v>
      </c>
      <c r="DB37" s="45">
        <v>172.6</v>
      </c>
      <c r="DC37">
        <v>1</v>
      </c>
      <c r="DD37">
        <v>1</v>
      </c>
      <c r="DE37">
        <v>3</v>
      </c>
      <c r="DF37">
        <v>5</v>
      </c>
      <c r="DG37" s="45">
        <v>30.1</v>
      </c>
      <c r="DH37" s="45">
        <v>9.3</v>
      </c>
      <c r="DI37" s="45">
        <v>21</v>
      </c>
      <c r="DJ37" s="45">
        <v>60.4</v>
      </c>
      <c r="DK37">
        <v>0</v>
      </c>
      <c r="DL37">
        <v>0</v>
      </c>
      <c r="DM37">
        <v>4</v>
      </c>
      <c r="DN37">
        <v>4</v>
      </c>
      <c r="DO37" s="45">
        <v>0</v>
      </c>
      <c r="DP37" s="45">
        <v>0</v>
      </c>
      <c r="DQ37" s="45">
        <v>29.3</v>
      </c>
      <c r="DR37" s="45">
        <v>29.3</v>
      </c>
      <c r="DS37">
        <v>1</v>
      </c>
      <c r="DT37">
        <v>0</v>
      </c>
      <c r="DU37">
        <v>4</v>
      </c>
      <c r="DV37">
        <v>5</v>
      </c>
      <c r="DW37" s="45">
        <v>0.7</v>
      </c>
      <c r="DX37" s="45">
        <v>0</v>
      </c>
      <c r="DY37" s="45">
        <v>55.3</v>
      </c>
      <c r="DZ37" s="45">
        <v>56</v>
      </c>
      <c r="EA37">
        <v>0</v>
      </c>
      <c r="EB37">
        <v>0</v>
      </c>
      <c r="EC37">
        <v>2</v>
      </c>
      <c r="ED37">
        <v>2</v>
      </c>
      <c r="EE37">
        <v>0</v>
      </c>
      <c r="EF37" s="45">
        <v>0</v>
      </c>
      <c r="EG37" s="45">
        <v>558.6</v>
      </c>
      <c r="EH37" s="45">
        <v>558.6</v>
      </c>
      <c r="EI37">
        <v>124</v>
      </c>
      <c r="EJ37">
        <v>94</v>
      </c>
      <c r="EK37">
        <v>55</v>
      </c>
      <c r="EL37">
        <v>273</v>
      </c>
      <c r="EM37" s="45">
        <v>164</v>
      </c>
      <c r="EN37" s="45">
        <v>102.48</v>
      </c>
      <c r="EO37" s="45">
        <v>872.76</v>
      </c>
      <c r="EP37">
        <v>1139.24</v>
      </c>
    </row>
    <row r="38" spans="1:146" ht="9">
      <c r="A38" s="62" t="s">
        <v>54</v>
      </c>
      <c r="B38">
        <v>21</v>
      </c>
      <c r="C38">
        <v>46</v>
      </c>
      <c r="D38">
        <v>44</v>
      </c>
      <c r="E38">
        <v>46</v>
      </c>
      <c r="F38">
        <v>136</v>
      </c>
      <c r="G38" s="45">
        <v>13.45</v>
      </c>
      <c r="H38" s="45">
        <v>13.2</v>
      </c>
      <c r="I38" s="45">
        <v>11.49</v>
      </c>
      <c r="J38" s="45">
        <v>38.14</v>
      </c>
      <c r="K38">
        <v>15</v>
      </c>
      <c r="L38">
        <v>9</v>
      </c>
      <c r="M38">
        <v>7</v>
      </c>
      <c r="N38">
        <v>31</v>
      </c>
      <c r="O38" s="45">
        <v>29.7</v>
      </c>
      <c r="P38" s="45">
        <v>17.4</v>
      </c>
      <c r="Q38" s="45">
        <v>17.2</v>
      </c>
      <c r="R38" s="45">
        <v>64.3</v>
      </c>
      <c r="S38">
        <v>2</v>
      </c>
      <c r="T38">
        <v>0</v>
      </c>
      <c r="U38">
        <v>6</v>
      </c>
      <c r="V38">
        <v>8</v>
      </c>
      <c r="W38" s="45">
        <v>8.5</v>
      </c>
      <c r="X38" s="45">
        <v>0</v>
      </c>
      <c r="Y38" s="45">
        <v>34</v>
      </c>
      <c r="Z38" s="45">
        <v>42.5</v>
      </c>
      <c r="AA38">
        <v>0</v>
      </c>
      <c r="AB38">
        <v>2</v>
      </c>
      <c r="AC38">
        <v>11</v>
      </c>
      <c r="AD38">
        <v>13</v>
      </c>
      <c r="AE38" s="45">
        <v>0</v>
      </c>
      <c r="AF38" s="45">
        <v>30.9</v>
      </c>
      <c r="AG38" s="45">
        <v>160.4</v>
      </c>
      <c r="AH38" s="45">
        <v>191.3</v>
      </c>
      <c r="AI38">
        <v>2</v>
      </c>
      <c r="AJ38">
        <v>0</v>
      </c>
      <c r="AK38">
        <v>5</v>
      </c>
      <c r="AL38">
        <v>7</v>
      </c>
      <c r="AM38" s="45">
        <v>0</v>
      </c>
      <c r="AN38" s="45">
        <v>28.3</v>
      </c>
      <c r="AO38" s="45">
        <v>98.9</v>
      </c>
      <c r="AP38" s="45">
        <v>127.2</v>
      </c>
      <c r="AQ38">
        <v>3</v>
      </c>
      <c r="AR38">
        <v>2</v>
      </c>
      <c r="AS38">
        <v>3</v>
      </c>
      <c r="AT38">
        <v>8</v>
      </c>
      <c r="AU38" s="45">
        <v>45.2</v>
      </c>
      <c r="AV38" s="45">
        <v>81.8</v>
      </c>
      <c r="AW38" s="45">
        <v>61.4</v>
      </c>
      <c r="AX38" s="45">
        <v>188.4</v>
      </c>
      <c r="AY38">
        <v>1</v>
      </c>
      <c r="AZ38">
        <v>1</v>
      </c>
      <c r="BA38">
        <v>1</v>
      </c>
      <c r="BB38">
        <v>3</v>
      </c>
      <c r="BC38" s="45">
        <v>20.5</v>
      </c>
      <c r="BD38" s="45">
        <v>5</v>
      </c>
      <c r="BE38" s="45">
        <v>1.8</v>
      </c>
      <c r="BF38" s="45">
        <v>27.3</v>
      </c>
      <c r="BG38">
        <v>0</v>
      </c>
      <c r="BH38">
        <v>0</v>
      </c>
      <c r="BI38">
        <v>0</v>
      </c>
      <c r="BJ38">
        <v>0</v>
      </c>
      <c r="BK38" s="45">
        <v>0</v>
      </c>
      <c r="BL38" s="45">
        <v>0</v>
      </c>
      <c r="BM38" s="45">
        <v>0</v>
      </c>
      <c r="BN38" s="45">
        <v>0</v>
      </c>
      <c r="BO38">
        <v>69</v>
      </c>
      <c r="BP38">
        <v>58</v>
      </c>
      <c r="BQ38">
        <v>79</v>
      </c>
      <c r="BR38">
        <v>206</v>
      </c>
      <c r="BS38" s="45">
        <v>117.35</v>
      </c>
      <c r="BT38" s="45">
        <v>176.6</v>
      </c>
      <c r="BU38" s="45">
        <v>385.19</v>
      </c>
      <c r="BV38" s="45">
        <v>679.14</v>
      </c>
      <c r="BW38">
        <v>42</v>
      </c>
      <c r="BX38">
        <v>37</v>
      </c>
      <c r="BY38">
        <v>43</v>
      </c>
      <c r="BZ38">
        <v>122</v>
      </c>
      <c r="CA38" s="45">
        <v>11.6</v>
      </c>
      <c r="CB38" s="45">
        <v>11.15</v>
      </c>
      <c r="CC38" s="45">
        <v>10.58</v>
      </c>
      <c r="CD38" s="45">
        <v>33.33</v>
      </c>
      <c r="CE38">
        <v>10</v>
      </c>
      <c r="CF38">
        <v>7</v>
      </c>
      <c r="CG38">
        <v>6</v>
      </c>
      <c r="CH38">
        <v>23</v>
      </c>
      <c r="CI38" s="45">
        <v>13.6</v>
      </c>
      <c r="CJ38" s="45">
        <v>12</v>
      </c>
      <c r="CK38" s="45">
        <v>13.8</v>
      </c>
      <c r="CL38" s="45">
        <v>39.4</v>
      </c>
      <c r="CM38">
        <v>1</v>
      </c>
      <c r="CN38">
        <v>1</v>
      </c>
      <c r="CO38">
        <v>5</v>
      </c>
      <c r="CP38">
        <v>7</v>
      </c>
      <c r="CQ38" s="45">
        <v>3.4</v>
      </c>
      <c r="CR38" s="45">
        <v>4.5</v>
      </c>
      <c r="CS38" s="45">
        <v>25.1</v>
      </c>
      <c r="CT38" s="45">
        <v>33</v>
      </c>
      <c r="CU38">
        <v>0</v>
      </c>
      <c r="CV38">
        <v>1</v>
      </c>
      <c r="CW38">
        <v>7</v>
      </c>
      <c r="CX38">
        <v>8</v>
      </c>
      <c r="CY38" s="45">
        <v>0</v>
      </c>
      <c r="CZ38" s="45">
        <v>12.7</v>
      </c>
      <c r="DA38" s="45">
        <v>78.3</v>
      </c>
      <c r="DB38" s="45">
        <v>91</v>
      </c>
      <c r="DC38">
        <v>1</v>
      </c>
      <c r="DD38">
        <v>1</v>
      </c>
      <c r="DE38">
        <v>5</v>
      </c>
      <c r="DF38">
        <v>7</v>
      </c>
      <c r="DG38" s="45">
        <v>13.3</v>
      </c>
      <c r="DH38" s="45">
        <v>15</v>
      </c>
      <c r="DI38" s="45">
        <v>74.7</v>
      </c>
      <c r="DJ38" s="45">
        <v>103</v>
      </c>
      <c r="DK38">
        <v>1</v>
      </c>
      <c r="DL38">
        <v>2</v>
      </c>
      <c r="DM38">
        <v>2</v>
      </c>
      <c r="DN38">
        <v>5</v>
      </c>
      <c r="DO38" s="45">
        <v>11.3</v>
      </c>
      <c r="DP38" s="45">
        <v>46.1</v>
      </c>
      <c r="DQ38" s="45">
        <v>14</v>
      </c>
      <c r="DR38" s="45">
        <v>71.4</v>
      </c>
      <c r="DS38">
        <v>1</v>
      </c>
      <c r="DT38">
        <v>0</v>
      </c>
      <c r="DU38">
        <v>1</v>
      </c>
      <c r="DV38">
        <v>2</v>
      </c>
      <c r="DW38" s="45">
        <v>20.5</v>
      </c>
      <c r="DX38" s="45">
        <v>0</v>
      </c>
      <c r="DY38" s="45">
        <v>1.8</v>
      </c>
      <c r="DZ38" s="45">
        <v>22.3</v>
      </c>
      <c r="EA38">
        <v>0</v>
      </c>
      <c r="EB38">
        <v>0</v>
      </c>
      <c r="EC38">
        <v>0</v>
      </c>
      <c r="ED38">
        <v>0</v>
      </c>
      <c r="EE38">
        <v>0</v>
      </c>
      <c r="EF38" s="45">
        <v>0</v>
      </c>
      <c r="EG38" s="45">
        <v>0</v>
      </c>
      <c r="EH38" s="45">
        <v>0</v>
      </c>
      <c r="EI38">
        <v>56</v>
      </c>
      <c r="EJ38">
        <v>49</v>
      </c>
      <c r="EK38">
        <v>69</v>
      </c>
      <c r="EL38">
        <v>174</v>
      </c>
      <c r="EM38" s="45">
        <v>73.7</v>
      </c>
      <c r="EN38" s="45">
        <v>101.45</v>
      </c>
      <c r="EO38" s="45">
        <v>218.28</v>
      </c>
      <c r="EP38">
        <v>393.43</v>
      </c>
    </row>
    <row r="39" spans="1:146" ht="9">
      <c r="A39" s="50" t="s">
        <v>100</v>
      </c>
      <c r="B39" s="63">
        <v>178</v>
      </c>
      <c r="C39" s="63">
        <v>3903</v>
      </c>
      <c r="D39" s="63">
        <v>672</v>
      </c>
      <c r="E39" s="63">
        <v>207</v>
      </c>
      <c r="F39" s="63">
        <v>4782</v>
      </c>
      <c r="G39" s="64">
        <v>1001</v>
      </c>
      <c r="H39" s="64">
        <v>178.61</v>
      </c>
      <c r="I39" s="64">
        <v>52.28</v>
      </c>
      <c r="J39" s="64">
        <v>1231.89</v>
      </c>
      <c r="K39" s="63">
        <v>645</v>
      </c>
      <c r="L39" s="63">
        <v>194</v>
      </c>
      <c r="M39" s="63">
        <v>77</v>
      </c>
      <c r="N39" s="63">
        <v>916</v>
      </c>
      <c r="O39" s="64">
        <v>1244.9</v>
      </c>
      <c r="P39" s="64">
        <v>453</v>
      </c>
      <c r="Q39" s="64">
        <v>178.3</v>
      </c>
      <c r="R39" s="64">
        <v>1876.2</v>
      </c>
      <c r="S39" s="63">
        <v>137</v>
      </c>
      <c r="T39" s="63">
        <v>47</v>
      </c>
      <c r="U39" s="63">
        <v>59</v>
      </c>
      <c r="V39" s="63">
        <v>243</v>
      </c>
      <c r="W39" s="64">
        <v>719.7</v>
      </c>
      <c r="X39" s="64">
        <v>291.6</v>
      </c>
      <c r="Y39" s="64">
        <v>394.2</v>
      </c>
      <c r="Z39" s="64">
        <v>1405.5</v>
      </c>
      <c r="AA39" s="63">
        <v>74</v>
      </c>
      <c r="AB39" s="63">
        <v>26</v>
      </c>
      <c r="AC39" s="63">
        <v>88</v>
      </c>
      <c r="AD39" s="63">
        <v>188</v>
      </c>
      <c r="AE39" s="64">
        <v>1598.8</v>
      </c>
      <c r="AF39" s="64">
        <v>645.8</v>
      </c>
      <c r="AG39" s="64">
        <v>2350.6</v>
      </c>
      <c r="AH39" s="64">
        <v>4595.2</v>
      </c>
      <c r="AI39" s="63">
        <v>20</v>
      </c>
      <c r="AJ39" s="63">
        <v>10</v>
      </c>
      <c r="AK39" s="63">
        <v>27</v>
      </c>
      <c r="AL39" s="63">
        <v>57</v>
      </c>
      <c r="AM39" s="64">
        <v>356.4</v>
      </c>
      <c r="AN39" s="64">
        <v>225.2</v>
      </c>
      <c r="AO39" s="64">
        <v>542.3</v>
      </c>
      <c r="AP39" s="64">
        <v>1123.9</v>
      </c>
      <c r="AQ39" s="63">
        <v>23</v>
      </c>
      <c r="AR39" s="63">
        <v>10</v>
      </c>
      <c r="AS39" s="63">
        <v>46</v>
      </c>
      <c r="AT39" s="63">
        <v>79</v>
      </c>
      <c r="AU39" s="64">
        <v>236.9</v>
      </c>
      <c r="AV39" s="64">
        <v>201.6</v>
      </c>
      <c r="AW39" s="64">
        <v>1083.9</v>
      </c>
      <c r="AX39" s="64">
        <v>1522.4</v>
      </c>
      <c r="AY39" s="63">
        <v>17</v>
      </c>
      <c r="AZ39" s="63">
        <v>5</v>
      </c>
      <c r="BA39" s="63">
        <v>5</v>
      </c>
      <c r="BB39" s="63">
        <v>27</v>
      </c>
      <c r="BC39" s="64">
        <v>202.1</v>
      </c>
      <c r="BD39" s="64">
        <v>18.1</v>
      </c>
      <c r="BE39" s="64">
        <v>199.7</v>
      </c>
      <c r="BF39" s="64">
        <v>419.9</v>
      </c>
      <c r="BG39" s="63">
        <v>5</v>
      </c>
      <c r="BH39" s="63">
        <v>1</v>
      </c>
      <c r="BI39" s="63">
        <v>23</v>
      </c>
      <c r="BJ39" s="63">
        <v>29</v>
      </c>
      <c r="BK39" s="64">
        <v>289.6</v>
      </c>
      <c r="BL39" s="64">
        <v>0.3</v>
      </c>
      <c r="BM39" s="64">
        <v>3888.9</v>
      </c>
      <c r="BN39" s="64">
        <v>4178.8</v>
      </c>
      <c r="BO39" s="63">
        <v>4824</v>
      </c>
      <c r="BP39" s="63">
        <v>965</v>
      </c>
      <c r="BQ39" s="63">
        <v>532</v>
      </c>
      <c r="BR39" s="63">
        <v>6321</v>
      </c>
      <c r="BS39" s="64">
        <v>5649.4</v>
      </c>
      <c r="BT39" s="64">
        <v>2014.21</v>
      </c>
      <c r="BU39" s="64">
        <v>8690.18</v>
      </c>
      <c r="BV39" s="64">
        <v>16353.79</v>
      </c>
      <c r="BW39" s="63">
        <v>3730</v>
      </c>
      <c r="BX39" s="63">
        <v>607</v>
      </c>
      <c r="BY39" s="63">
        <v>208</v>
      </c>
      <c r="BZ39" s="63">
        <v>4545</v>
      </c>
      <c r="CA39" s="64">
        <v>936.65</v>
      </c>
      <c r="CB39" s="64">
        <v>157.99</v>
      </c>
      <c r="CC39" s="64">
        <v>50.06</v>
      </c>
      <c r="CD39" s="64">
        <v>1144.7</v>
      </c>
      <c r="CE39" s="63">
        <v>556</v>
      </c>
      <c r="CF39" s="63">
        <v>149</v>
      </c>
      <c r="CG39" s="63">
        <v>44</v>
      </c>
      <c r="CH39" s="63">
        <v>749</v>
      </c>
      <c r="CI39" s="64">
        <v>948.5</v>
      </c>
      <c r="CJ39" s="64">
        <v>333.1</v>
      </c>
      <c r="CK39" s="64">
        <v>87.76</v>
      </c>
      <c r="CL39" s="64">
        <v>1369.36</v>
      </c>
      <c r="CM39" s="63">
        <v>119</v>
      </c>
      <c r="CN39" s="63">
        <v>45</v>
      </c>
      <c r="CO39" s="63">
        <v>44</v>
      </c>
      <c r="CP39" s="63">
        <v>208</v>
      </c>
      <c r="CQ39" s="64">
        <v>532.6</v>
      </c>
      <c r="CR39" s="64">
        <v>246</v>
      </c>
      <c r="CS39" s="64">
        <v>218.91</v>
      </c>
      <c r="CT39" s="64">
        <v>997.51</v>
      </c>
      <c r="CU39" s="63">
        <v>69</v>
      </c>
      <c r="CV39" s="63">
        <v>23</v>
      </c>
      <c r="CW39" s="63">
        <v>76</v>
      </c>
      <c r="CX39" s="63">
        <v>168</v>
      </c>
      <c r="CY39" s="64">
        <v>1085.3</v>
      </c>
      <c r="CZ39" s="64">
        <v>443.9</v>
      </c>
      <c r="DA39" s="64">
        <v>1336</v>
      </c>
      <c r="DB39" s="64">
        <v>2865.2</v>
      </c>
      <c r="DC39" s="63">
        <v>18</v>
      </c>
      <c r="DD39" s="63">
        <v>11</v>
      </c>
      <c r="DE39" s="63">
        <v>25</v>
      </c>
      <c r="DF39" s="63">
        <v>54</v>
      </c>
      <c r="DG39" s="64">
        <v>321.8</v>
      </c>
      <c r="DH39" s="64">
        <v>168.5</v>
      </c>
      <c r="DI39" s="64">
        <v>371.9</v>
      </c>
      <c r="DJ39" s="64">
        <v>862.2</v>
      </c>
      <c r="DK39" s="63">
        <v>19</v>
      </c>
      <c r="DL39" s="63">
        <v>8</v>
      </c>
      <c r="DM39" s="63">
        <v>33</v>
      </c>
      <c r="DN39" s="63">
        <v>60</v>
      </c>
      <c r="DO39" s="64">
        <v>105</v>
      </c>
      <c r="DP39" s="64">
        <v>80.9</v>
      </c>
      <c r="DQ39" s="64">
        <v>381.7</v>
      </c>
      <c r="DR39" s="64">
        <v>567.6</v>
      </c>
      <c r="DS39" s="63">
        <v>16</v>
      </c>
      <c r="DT39" s="63">
        <v>1</v>
      </c>
      <c r="DU39" s="63">
        <v>6</v>
      </c>
      <c r="DV39" s="63">
        <v>23</v>
      </c>
      <c r="DW39" s="64">
        <v>173.4</v>
      </c>
      <c r="DX39" s="64">
        <v>0.1</v>
      </c>
      <c r="DY39" s="64">
        <v>60.9</v>
      </c>
      <c r="DZ39" s="64">
        <v>234.4</v>
      </c>
      <c r="EA39" s="63">
        <v>5</v>
      </c>
      <c r="EB39" s="63">
        <v>1</v>
      </c>
      <c r="EC39" s="63">
        <v>21</v>
      </c>
      <c r="ED39" s="63">
        <v>27</v>
      </c>
      <c r="EE39" s="63">
        <v>288.2</v>
      </c>
      <c r="EF39" s="64">
        <v>0.3</v>
      </c>
      <c r="EG39" s="64">
        <v>2347.4</v>
      </c>
      <c r="EH39" s="64">
        <v>2635.9</v>
      </c>
      <c r="EI39" s="63">
        <v>4532</v>
      </c>
      <c r="EJ39" s="63">
        <v>845</v>
      </c>
      <c r="EK39" s="63">
        <v>457</v>
      </c>
      <c r="EL39" s="63">
        <v>5834</v>
      </c>
      <c r="EM39" s="64">
        <v>4391.45</v>
      </c>
      <c r="EN39" s="64">
        <v>1430.79</v>
      </c>
      <c r="EO39" s="64">
        <v>4854.63</v>
      </c>
      <c r="EP39" s="63">
        <v>10676.87</v>
      </c>
    </row>
    <row r="40" spans="1:146" ht="9">
      <c r="A40" s="65" t="s">
        <v>55</v>
      </c>
      <c r="B40">
        <v>12</v>
      </c>
      <c r="C40">
        <v>131</v>
      </c>
      <c r="D40">
        <v>48</v>
      </c>
      <c r="E40">
        <v>29</v>
      </c>
      <c r="F40">
        <v>208</v>
      </c>
      <c r="G40" s="45">
        <v>24.64</v>
      </c>
      <c r="H40" s="45">
        <v>12.24</v>
      </c>
      <c r="I40" s="45">
        <v>10.66</v>
      </c>
      <c r="J40" s="45">
        <v>47.54</v>
      </c>
      <c r="K40">
        <v>7</v>
      </c>
      <c r="L40">
        <v>2</v>
      </c>
      <c r="M40">
        <v>7</v>
      </c>
      <c r="N40">
        <v>16</v>
      </c>
      <c r="O40" s="45">
        <v>11.4</v>
      </c>
      <c r="P40" s="45">
        <v>2.3</v>
      </c>
      <c r="Q40" s="45">
        <v>16.1</v>
      </c>
      <c r="R40" s="45">
        <v>29.8</v>
      </c>
      <c r="S40">
        <v>1</v>
      </c>
      <c r="T40">
        <v>1</v>
      </c>
      <c r="U40">
        <v>3</v>
      </c>
      <c r="V40">
        <v>5</v>
      </c>
      <c r="W40" s="45">
        <v>4.6</v>
      </c>
      <c r="X40" s="45">
        <v>28.3</v>
      </c>
      <c r="Y40" s="45">
        <v>23.6</v>
      </c>
      <c r="Z40" s="45">
        <v>56.5</v>
      </c>
      <c r="AA40">
        <v>1</v>
      </c>
      <c r="AB40">
        <v>0</v>
      </c>
      <c r="AC40">
        <v>6</v>
      </c>
      <c r="AD40">
        <v>7</v>
      </c>
      <c r="AE40" s="45">
        <v>28.5</v>
      </c>
      <c r="AF40" s="45">
        <v>0</v>
      </c>
      <c r="AG40" s="45">
        <v>904.1</v>
      </c>
      <c r="AH40" s="45">
        <v>932.6</v>
      </c>
      <c r="AI40">
        <v>0</v>
      </c>
      <c r="AJ40">
        <v>1</v>
      </c>
      <c r="AK40">
        <v>3</v>
      </c>
      <c r="AL40">
        <v>4</v>
      </c>
      <c r="AM40" s="45">
        <v>7.6</v>
      </c>
      <c r="AN40" s="45">
        <v>28.9</v>
      </c>
      <c r="AO40" s="45">
        <v>64.2</v>
      </c>
      <c r="AP40" s="45">
        <v>100.7</v>
      </c>
      <c r="AQ40">
        <v>0</v>
      </c>
      <c r="AR40">
        <v>0</v>
      </c>
      <c r="AS40">
        <v>1</v>
      </c>
      <c r="AT40">
        <v>1</v>
      </c>
      <c r="AU40" s="45">
        <v>0</v>
      </c>
      <c r="AV40" s="45">
        <v>0</v>
      </c>
      <c r="AW40" s="45">
        <v>4.6</v>
      </c>
      <c r="AX40" s="45">
        <v>4.6</v>
      </c>
      <c r="AY40">
        <v>1</v>
      </c>
      <c r="AZ40">
        <v>1</v>
      </c>
      <c r="BA40">
        <v>1</v>
      </c>
      <c r="BB40">
        <v>3</v>
      </c>
      <c r="BC40" s="45">
        <v>4.3</v>
      </c>
      <c r="BD40" s="45">
        <v>4.4</v>
      </c>
      <c r="BE40" s="45">
        <v>60.5</v>
      </c>
      <c r="BF40" s="45">
        <v>69.2</v>
      </c>
      <c r="BG40">
        <v>0</v>
      </c>
      <c r="BH40">
        <v>0</v>
      </c>
      <c r="BI40">
        <v>2</v>
      </c>
      <c r="BJ40">
        <v>2</v>
      </c>
      <c r="BK40" s="45">
        <v>0</v>
      </c>
      <c r="BL40" s="45">
        <v>0</v>
      </c>
      <c r="BM40" s="45">
        <v>613.8</v>
      </c>
      <c r="BN40" s="45">
        <v>613.8</v>
      </c>
      <c r="BO40">
        <v>141</v>
      </c>
      <c r="BP40">
        <v>53</v>
      </c>
      <c r="BQ40">
        <v>52</v>
      </c>
      <c r="BR40">
        <v>246</v>
      </c>
      <c r="BS40" s="45">
        <v>81.04</v>
      </c>
      <c r="BT40" s="45">
        <v>76.14</v>
      </c>
      <c r="BU40" s="45">
        <v>1697.56</v>
      </c>
      <c r="BV40" s="45">
        <v>1854.74</v>
      </c>
      <c r="BW40">
        <v>129</v>
      </c>
      <c r="BX40">
        <v>48</v>
      </c>
      <c r="BY40">
        <v>27</v>
      </c>
      <c r="BZ40">
        <v>204</v>
      </c>
      <c r="CA40" s="45">
        <v>24.35</v>
      </c>
      <c r="CB40" s="45">
        <v>12.23</v>
      </c>
      <c r="CC40" s="45">
        <v>10.21</v>
      </c>
      <c r="CD40" s="45">
        <v>46.79</v>
      </c>
      <c r="CE40">
        <v>3</v>
      </c>
      <c r="CF40">
        <v>2</v>
      </c>
      <c r="CG40">
        <v>7</v>
      </c>
      <c r="CH40">
        <v>12</v>
      </c>
      <c r="CI40" s="45">
        <v>8.8</v>
      </c>
      <c r="CJ40" s="45">
        <v>2.3</v>
      </c>
      <c r="CK40" s="45">
        <v>13.1</v>
      </c>
      <c r="CL40" s="45">
        <v>24.2</v>
      </c>
      <c r="CM40">
        <v>1</v>
      </c>
      <c r="CN40">
        <v>1</v>
      </c>
      <c r="CO40">
        <v>3</v>
      </c>
      <c r="CP40">
        <v>5</v>
      </c>
      <c r="CQ40" s="45">
        <v>4.6</v>
      </c>
      <c r="CR40" s="45">
        <v>20.6</v>
      </c>
      <c r="CS40" s="45">
        <v>12.9</v>
      </c>
      <c r="CT40" s="45">
        <v>38.1</v>
      </c>
      <c r="CU40">
        <v>1</v>
      </c>
      <c r="CV40">
        <v>0</v>
      </c>
      <c r="CW40">
        <v>5</v>
      </c>
      <c r="CX40">
        <v>6</v>
      </c>
      <c r="CY40" s="45">
        <v>28.5</v>
      </c>
      <c r="CZ40" s="45">
        <v>0</v>
      </c>
      <c r="DA40" s="45">
        <v>140</v>
      </c>
      <c r="DB40" s="45">
        <v>168.5</v>
      </c>
      <c r="DC40">
        <v>0</v>
      </c>
      <c r="DD40">
        <v>1</v>
      </c>
      <c r="DE40">
        <v>3</v>
      </c>
      <c r="DF40">
        <v>4</v>
      </c>
      <c r="DG40" s="45">
        <v>6.4</v>
      </c>
      <c r="DH40" s="45">
        <v>17.8</v>
      </c>
      <c r="DI40" s="45">
        <v>46.3</v>
      </c>
      <c r="DJ40" s="45">
        <v>70.5</v>
      </c>
      <c r="DK40">
        <v>0</v>
      </c>
      <c r="DL40">
        <v>0</v>
      </c>
      <c r="DM40">
        <v>1</v>
      </c>
      <c r="DN40">
        <v>1</v>
      </c>
      <c r="DO40" s="45">
        <v>0</v>
      </c>
      <c r="DP40" s="45">
        <v>0</v>
      </c>
      <c r="DQ40" s="45">
        <v>4.6</v>
      </c>
      <c r="DR40" s="45">
        <v>4.6</v>
      </c>
      <c r="DS40">
        <v>0</v>
      </c>
      <c r="DT40">
        <v>1</v>
      </c>
      <c r="DU40">
        <v>1</v>
      </c>
      <c r="DV40">
        <v>2</v>
      </c>
      <c r="DW40" s="45">
        <v>0</v>
      </c>
      <c r="DX40" s="45">
        <v>4.4</v>
      </c>
      <c r="DY40" s="45">
        <v>7.4</v>
      </c>
      <c r="DZ40" s="45">
        <v>11.8</v>
      </c>
      <c r="EA40">
        <v>0</v>
      </c>
      <c r="EB40">
        <v>0</v>
      </c>
      <c r="EC40">
        <v>2</v>
      </c>
      <c r="ED40">
        <v>2</v>
      </c>
      <c r="EE40">
        <v>0</v>
      </c>
      <c r="EF40" s="45">
        <v>0</v>
      </c>
      <c r="EG40" s="45">
        <v>115.8</v>
      </c>
      <c r="EH40" s="45">
        <v>115.8</v>
      </c>
      <c r="EI40">
        <v>134</v>
      </c>
      <c r="EJ40">
        <v>53</v>
      </c>
      <c r="EK40">
        <v>49</v>
      </c>
      <c r="EL40">
        <v>236</v>
      </c>
      <c r="EM40" s="45">
        <v>72.65</v>
      </c>
      <c r="EN40" s="45">
        <v>57.33</v>
      </c>
      <c r="EO40" s="45">
        <v>350.31</v>
      </c>
      <c r="EP40">
        <v>480.29</v>
      </c>
    </row>
    <row r="41" spans="1:146" ht="9">
      <c r="A41" s="65" t="s">
        <v>56</v>
      </c>
      <c r="B41">
        <v>12</v>
      </c>
      <c r="C41">
        <v>79</v>
      </c>
      <c r="D41">
        <v>62</v>
      </c>
      <c r="E41">
        <v>21</v>
      </c>
      <c r="F41">
        <v>162</v>
      </c>
      <c r="G41" s="45">
        <v>16.02</v>
      </c>
      <c r="H41" s="45">
        <v>14.52</v>
      </c>
      <c r="I41" s="45">
        <v>6.27</v>
      </c>
      <c r="J41" s="45">
        <v>36.81</v>
      </c>
      <c r="K41">
        <v>6</v>
      </c>
      <c r="L41">
        <v>5</v>
      </c>
      <c r="M41">
        <v>6</v>
      </c>
      <c r="N41">
        <v>17</v>
      </c>
      <c r="O41" s="45">
        <v>20.8</v>
      </c>
      <c r="P41" s="45">
        <v>9.9</v>
      </c>
      <c r="Q41" s="45">
        <v>12.2</v>
      </c>
      <c r="R41" s="45">
        <v>42.9</v>
      </c>
      <c r="S41">
        <v>0</v>
      </c>
      <c r="T41">
        <v>1</v>
      </c>
      <c r="U41">
        <v>6</v>
      </c>
      <c r="V41">
        <v>7</v>
      </c>
      <c r="W41" s="45">
        <v>0</v>
      </c>
      <c r="X41" s="45">
        <v>5.3</v>
      </c>
      <c r="Y41" s="45">
        <v>49.6</v>
      </c>
      <c r="Z41" s="45">
        <v>54.9</v>
      </c>
      <c r="AA41">
        <v>4</v>
      </c>
      <c r="AB41">
        <v>3</v>
      </c>
      <c r="AC41">
        <v>12</v>
      </c>
      <c r="AD41">
        <v>19</v>
      </c>
      <c r="AE41" s="45">
        <v>58.7</v>
      </c>
      <c r="AF41" s="45">
        <v>45.5</v>
      </c>
      <c r="AG41" s="45">
        <v>225</v>
      </c>
      <c r="AH41" s="45">
        <v>329.2</v>
      </c>
      <c r="AI41">
        <v>1</v>
      </c>
      <c r="AJ41">
        <v>2</v>
      </c>
      <c r="AK41">
        <v>6</v>
      </c>
      <c r="AL41">
        <v>9</v>
      </c>
      <c r="AM41" s="45">
        <v>11</v>
      </c>
      <c r="AN41" s="45">
        <v>57</v>
      </c>
      <c r="AO41" s="45">
        <v>90.2</v>
      </c>
      <c r="AP41" s="45">
        <v>158.2</v>
      </c>
      <c r="AQ41">
        <v>0</v>
      </c>
      <c r="AR41">
        <v>0</v>
      </c>
      <c r="AS41">
        <v>0</v>
      </c>
      <c r="AT41">
        <v>0</v>
      </c>
      <c r="AU41" s="45">
        <v>0</v>
      </c>
      <c r="AV41" s="45">
        <v>0</v>
      </c>
      <c r="AW41" s="45">
        <v>0</v>
      </c>
      <c r="AX41" s="45">
        <v>0</v>
      </c>
      <c r="AY41">
        <v>3</v>
      </c>
      <c r="AZ41">
        <v>2</v>
      </c>
      <c r="BA41">
        <v>3</v>
      </c>
      <c r="BB41">
        <v>8</v>
      </c>
      <c r="BC41" s="45">
        <v>28.8</v>
      </c>
      <c r="BD41" s="45">
        <v>4.1</v>
      </c>
      <c r="BE41" s="45">
        <v>188.1</v>
      </c>
      <c r="BF41" s="45">
        <v>221</v>
      </c>
      <c r="BG41">
        <v>0</v>
      </c>
      <c r="BH41">
        <v>0</v>
      </c>
      <c r="BI41">
        <v>4</v>
      </c>
      <c r="BJ41">
        <v>4</v>
      </c>
      <c r="BK41" s="45">
        <v>0</v>
      </c>
      <c r="BL41" s="45">
        <v>0</v>
      </c>
      <c r="BM41" s="45">
        <v>359.7</v>
      </c>
      <c r="BN41" s="45">
        <v>359.7</v>
      </c>
      <c r="BO41">
        <v>93</v>
      </c>
      <c r="BP41">
        <v>75</v>
      </c>
      <c r="BQ41">
        <v>58</v>
      </c>
      <c r="BR41">
        <v>226</v>
      </c>
      <c r="BS41" s="45">
        <v>135.32</v>
      </c>
      <c r="BT41" s="45">
        <v>136.32</v>
      </c>
      <c r="BU41" s="45">
        <v>931.07</v>
      </c>
      <c r="BV41" s="45">
        <v>1202.71</v>
      </c>
      <c r="BW41">
        <v>77</v>
      </c>
      <c r="BX41">
        <v>61</v>
      </c>
      <c r="BY41">
        <v>21</v>
      </c>
      <c r="BZ41">
        <v>159</v>
      </c>
      <c r="CA41" s="45">
        <v>15.58</v>
      </c>
      <c r="CB41" s="45">
        <v>14.28</v>
      </c>
      <c r="CC41" s="45">
        <v>6.36</v>
      </c>
      <c r="CD41" s="45">
        <v>36.22</v>
      </c>
      <c r="CE41">
        <v>6</v>
      </c>
      <c r="CF41">
        <v>5</v>
      </c>
      <c r="CG41">
        <v>5</v>
      </c>
      <c r="CH41">
        <v>16</v>
      </c>
      <c r="CI41" s="45">
        <v>19.1</v>
      </c>
      <c r="CJ41" s="45">
        <v>9.9</v>
      </c>
      <c r="CK41" s="45">
        <v>9.9</v>
      </c>
      <c r="CL41" s="45">
        <v>38.9</v>
      </c>
      <c r="CM41">
        <v>0</v>
      </c>
      <c r="CN41">
        <v>1</v>
      </c>
      <c r="CO41">
        <v>6</v>
      </c>
      <c r="CP41">
        <v>7</v>
      </c>
      <c r="CQ41" s="45">
        <v>0</v>
      </c>
      <c r="CR41" s="45">
        <v>4.7</v>
      </c>
      <c r="CS41" s="45">
        <v>49.88</v>
      </c>
      <c r="CT41" s="45">
        <v>54.58</v>
      </c>
      <c r="CU41">
        <v>4</v>
      </c>
      <c r="CV41">
        <v>3</v>
      </c>
      <c r="CW41">
        <v>12</v>
      </c>
      <c r="CX41">
        <v>19</v>
      </c>
      <c r="CY41" s="45">
        <v>50</v>
      </c>
      <c r="CZ41" s="45">
        <v>41.1</v>
      </c>
      <c r="DA41" s="45">
        <v>167.2</v>
      </c>
      <c r="DB41" s="45">
        <v>258.3</v>
      </c>
      <c r="DC41">
        <v>1</v>
      </c>
      <c r="DD41">
        <v>2</v>
      </c>
      <c r="DE41">
        <v>6</v>
      </c>
      <c r="DF41">
        <v>9</v>
      </c>
      <c r="DG41" s="45">
        <v>11</v>
      </c>
      <c r="DH41" s="45">
        <v>57</v>
      </c>
      <c r="DI41" s="45">
        <v>86.6</v>
      </c>
      <c r="DJ41" s="45">
        <v>154.6</v>
      </c>
      <c r="DK41">
        <v>0</v>
      </c>
      <c r="DL41">
        <v>0</v>
      </c>
      <c r="DM41">
        <v>0</v>
      </c>
      <c r="DN41">
        <v>0</v>
      </c>
      <c r="DO41" s="45">
        <v>0</v>
      </c>
      <c r="DP41" s="45">
        <v>0</v>
      </c>
      <c r="DQ41" s="45">
        <v>0</v>
      </c>
      <c r="DR41" s="45">
        <v>0</v>
      </c>
      <c r="DS41">
        <v>3</v>
      </c>
      <c r="DT41">
        <v>2</v>
      </c>
      <c r="DU41">
        <v>3</v>
      </c>
      <c r="DV41">
        <v>8</v>
      </c>
      <c r="DW41" s="45">
        <v>28.5</v>
      </c>
      <c r="DX41" s="45">
        <v>4.1</v>
      </c>
      <c r="DY41" s="45">
        <v>95.9</v>
      </c>
      <c r="DZ41" s="45">
        <v>128.5</v>
      </c>
      <c r="EA41">
        <v>0</v>
      </c>
      <c r="EB41">
        <v>0</v>
      </c>
      <c r="EC41">
        <v>4</v>
      </c>
      <c r="ED41">
        <v>4</v>
      </c>
      <c r="EE41">
        <v>0</v>
      </c>
      <c r="EF41" s="45">
        <v>0</v>
      </c>
      <c r="EG41" s="45">
        <v>251</v>
      </c>
      <c r="EH41" s="45">
        <v>251</v>
      </c>
      <c r="EI41">
        <v>91</v>
      </c>
      <c r="EJ41">
        <v>74</v>
      </c>
      <c r="EK41">
        <v>57</v>
      </c>
      <c r="EL41">
        <v>222</v>
      </c>
      <c r="EM41" s="45">
        <v>124.18</v>
      </c>
      <c r="EN41" s="45">
        <v>131.08</v>
      </c>
      <c r="EO41" s="45">
        <v>666.84</v>
      </c>
      <c r="EP41">
        <v>922.1</v>
      </c>
    </row>
    <row r="42" spans="1:146" ht="9">
      <c r="A42" s="65" t="s">
        <v>57</v>
      </c>
      <c r="B42">
        <v>19</v>
      </c>
      <c r="C42">
        <v>360</v>
      </c>
      <c r="D42">
        <v>91</v>
      </c>
      <c r="E42">
        <v>31</v>
      </c>
      <c r="F42">
        <v>482</v>
      </c>
      <c r="G42" s="45">
        <v>85.98</v>
      </c>
      <c r="H42" s="45">
        <v>24.55</v>
      </c>
      <c r="I42" s="45">
        <v>8.47</v>
      </c>
      <c r="J42" s="45">
        <v>119</v>
      </c>
      <c r="K42">
        <v>17</v>
      </c>
      <c r="L42">
        <v>14</v>
      </c>
      <c r="M42">
        <v>7</v>
      </c>
      <c r="N42">
        <v>38</v>
      </c>
      <c r="O42" s="45">
        <v>38.5</v>
      </c>
      <c r="P42" s="45">
        <v>27.2</v>
      </c>
      <c r="Q42" s="45">
        <v>18.2</v>
      </c>
      <c r="R42" s="45">
        <v>83.9</v>
      </c>
      <c r="S42">
        <v>2</v>
      </c>
      <c r="T42">
        <v>5</v>
      </c>
      <c r="U42">
        <v>7</v>
      </c>
      <c r="V42">
        <v>14</v>
      </c>
      <c r="W42" s="45">
        <v>12.1</v>
      </c>
      <c r="X42" s="45">
        <v>26.8</v>
      </c>
      <c r="Y42" s="45">
        <v>50</v>
      </c>
      <c r="Z42" s="45">
        <v>88.9</v>
      </c>
      <c r="AA42">
        <v>5</v>
      </c>
      <c r="AB42">
        <v>3</v>
      </c>
      <c r="AC42">
        <v>11</v>
      </c>
      <c r="AD42">
        <v>19</v>
      </c>
      <c r="AE42" s="45">
        <v>64.9</v>
      </c>
      <c r="AF42" s="45">
        <v>47.4</v>
      </c>
      <c r="AG42" s="45">
        <v>154.4</v>
      </c>
      <c r="AH42" s="45">
        <v>266.7</v>
      </c>
      <c r="AI42">
        <v>5</v>
      </c>
      <c r="AJ42">
        <v>6</v>
      </c>
      <c r="AK42">
        <v>7</v>
      </c>
      <c r="AL42">
        <v>18</v>
      </c>
      <c r="AM42" s="45">
        <v>87.2</v>
      </c>
      <c r="AN42" s="45">
        <v>67.2</v>
      </c>
      <c r="AO42" s="45">
        <v>112.28</v>
      </c>
      <c r="AP42" s="45">
        <v>266.68</v>
      </c>
      <c r="AQ42">
        <v>3</v>
      </c>
      <c r="AR42">
        <v>1</v>
      </c>
      <c r="AS42">
        <v>7</v>
      </c>
      <c r="AT42">
        <v>11</v>
      </c>
      <c r="AU42" s="45">
        <v>161.1</v>
      </c>
      <c r="AV42" s="45">
        <v>2.9</v>
      </c>
      <c r="AW42" s="45">
        <v>302.6</v>
      </c>
      <c r="AX42" s="45">
        <v>466.6</v>
      </c>
      <c r="AY42">
        <v>3</v>
      </c>
      <c r="AZ42">
        <v>0</v>
      </c>
      <c r="BA42">
        <v>1</v>
      </c>
      <c r="BB42">
        <v>4</v>
      </c>
      <c r="BC42" s="45">
        <v>42.8</v>
      </c>
      <c r="BD42" s="45">
        <v>0</v>
      </c>
      <c r="BE42" s="45">
        <v>3.5</v>
      </c>
      <c r="BF42" s="45">
        <v>46.3</v>
      </c>
      <c r="BG42">
        <v>0</v>
      </c>
      <c r="BH42">
        <v>0</v>
      </c>
      <c r="BI42">
        <v>0</v>
      </c>
      <c r="BJ42">
        <v>0</v>
      </c>
      <c r="BK42" s="45">
        <v>0</v>
      </c>
      <c r="BL42" s="45">
        <v>0</v>
      </c>
      <c r="BM42" s="45">
        <v>0</v>
      </c>
      <c r="BN42" s="45">
        <v>0</v>
      </c>
      <c r="BO42">
        <v>395</v>
      </c>
      <c r="BP42">
        <v>120</v>
      </c>
      <c r="BQ42">
        <v>71</v>
      </c>
      <c r="BR42">
        <v>586</v>
      </c>
      <c r="BS42" s="45">
        <v>492.58</v>
      </c>
      <c r="BT42" s="45">
        <v>196.05</v>
      </c>
      <c r="BU42" s="45">
        <v>649.45</v>
      </c>
      <c r="BV42" s="45">
        <v>1338.08</v>
      </c>
      <c r="BW42">
        <v>357</v>
      </c>
      <c r="BX42">
        <v>91</v>
      </c>
      <c r="BY42">
        <v>31</v>
      </c>
      <c r="BZ42">
        <v>479</v>
      </c>
      <c r="CA42" s="45">
        <v>85.33</v>
      </c>
      <c r="CB42" s="45">
        <v>25.28</v>
      </c>
      <c r="CC42" s="45">
        <v>8.58</v>
      </c>
      <c r="CD42" s="45">
        <v>119.19</v>
      </c>
      <c r="CE42">
        <v>16</v>
      </c>
      <c r="CF42">
        <v>13</v>
      </c>
      <c r="CG42">
        <v>7</v>
      </c>
      <c r="CH42">
        <v>36</v>
      </c>
      <c r="CI42" s="45">
        <v>31.6</v>
      </c>
      <c r="CJ42" s="45">
        <v>25.25</v>
      </c>
      <c r="CK42" s="45">
        <v>17.9</v>
      </c>
      <c r="CL42" s="45">
        <v>74.75</v>
      </c>
      <c r="CM42">
        <v>2</v>
      </c>
      <c r="CN42">
        <v>5</v>
      </c>
      <c r="CO42">
        <v>7</v>
      </c>
      <c r="CP42">
        <v>14</v>
      </c>
      <c r="CQ42" s="45">
        <v>12.1</v>
      </c>
      <c r="CR42" s="45">
        <v>23.8</v>
      </c>
      <c r="CS42" s="45">
        <v>49.8</v>
      </c>
      <c r="CT42" s="45">
        <v>85.7</v>
      </c>
      <c r="CU42">
        <v>5</v>
      </c>
      <c r="CV42">
        <v>2</v>
      </c>
      <c r="CW42">
        <v>12</v>
      </c>
      <c r="CX42">
        <v>19</v>
      </c>
      <c r="CY42" s="45">
        <v>56</v>
      </c>
      <c r="CZ42" s="45">
        <v>28.8</v>
      </c>
      <c r="DA42" s="45">
        <v>145.85</v>
      </c>
      <c r="DB42" s="45">
        <v>230.65</v>
      </c>
      <c r="DC42">
        <v>6</v>
      </c>
      <c r="DD42">
        <v>5</v>
      </c>
      <c r="DE42">
        <v>7</v>
      </c>
      <c r="DF42">
        <v>18</v>
      </c>
      <c r="DG42" s="45">
        <v>79.8</v>
      </c>
      <c r="DH42" s="45">
        <v>64.6</v>
      </c>
      <c r="DI42" s="45">
        <v>99.78</v>
      </c>
      <c r="DJ42" s="45">
        <v>244.18</v>
      </c>
      <c r="DK42">
        <v>3</v>
      </c>
      <c r="DL42">
        <v>1</v>
      </c>
      <c r="DM42">
        <v>7</v>
      </c>
      <c r="DN42">
        <v>11</v>
      </c>
      <c r="DO42" s="45">
        <v>85</v>
      </c>
      <c r="DP42" s="45">
        <v>2.9</v>
      </c>
      <c r="DQ42" s="45">
        <v>285.02</v>
      </c>
      <c r="DR42" s="45">
        <v>372.92</v>
      </c>
      <c r="DS42">
        <v>3</v>
      </c>
      <c r="DT42">
        <v>0</v>
      </c>
      <c r="DU42">
        <v>1</v>
      </c>
      <c r="DV42">
        <v>4</v>
      </c>
      <c r="DW42" s="45">
        <v>33.9</v>
      </c>
      <c r="DX42" s="45">
        <v>0</v>
      </c>
      <c r="DY42" s="45">
        <v>3.5</v>
      </c>
      <c r="DZ42" s="45">
        <v>37.4</v>
      </c>
      <c r="EA42">
        <v>0</v>
      </c>
      <c r="EB42">
        <v>0</v>
      </c>
      <c r="EC42">
        <v>0</v>
      </c>
      <c r="ED42">
        <v>0</v>
      </c>
      <c r="EE42">
        <v>0</v>
      </c>
      <c r="EF42" s="45">
        <v>0</v>
      </c>
      <c r="EG42" s="45">
        <v>0</v>
      </c>
      <c r="EH42" s="45">
        <v>0</v>
      </c>
      <c r="EI42">
        <v>392</v>
      </c>
      <c r="EJ42">
        <v>117</v>
      </c>
      <c r="EK42">
        <v>72</v>
      </c>
      <c r="EL42">
        <v>581</v>
      </c>
      <c r="EM42" s="45">
        <v>383.73</v>
      </c>
      <c r="EN42" s="45">
        <v>170.63</v>
      </c>
      <c r="EO42" s="45">
        <v>610.43</v>
      </c>
      <c r="EP42">
        <v>1164.79</v>
      </c>
    </row>
    <row r="43" spans="1:146" ht="9">
      <c r="A43" s="65" t="s">
        <v>58</v>
      </c>
      <c r="B43">
        <v>19</v>
      </c>
      <c r="C43">
        <v>643</v>
      </c>
      <c r="D43">
        <v>152</v>
      </c>
      <c r="E43">
        <v>22</v>
      </c>
      <c r="F43">
        <v>817</v>
      </c>
      <c r="G43" s="45">
        <v>122.9</v>
      </c>
      <c r="H43" s="45">
        <v>29.23</v>
      </c>
      <c r="I43" s="45">
        <v>5.35</v>
      </c>
      <c r="J43" s="45">
        <v>157.48</v>
      </c>
      <c r="K43">
        <v>49</v>
      </c>
      <c r="L43">
        <v>19</v>
      </c>
      <c r="M43">
        <v>4</v>
      </c>
      <c r="N43">
        <v>72</v>
      </c>
      <c r="O43" s="45">
        <v>107.5</v>
      </c>
      <c r="P43" s="45">
        <v>37.5</v>
      </c>
      <c r="Q43" s="45">
        <v>5.9</v>
      </c>
      <c r="R43" s="45">
        <v>150.9</v>
      </c>
      <c r="S43">
        <v>14</v>
      </c>
      <c r="T43">
        <v>5</v>
      </c>
      <c r="U43">
        <v>2</v>
      </c>
      <c r="V43">
        <v>21</v>
      </c>
      <c r="W43" s="45">
        <v>72.4</v>
      </c>
      <c r="X43" s="45">
        <v>28.3</v>
      </c>
      <c r="Y43" s="45">
        <v>15.9</v>
      </c>
      <c r="Z43" s="45">
        <v>116.6</v>
      </c>
      <c r="AA43">
        <v>6</v>
      </c>
      <c r="AB43">
        <v>6</v>
      </c>
      <c r="AC43">
        <v>15</v>
      </c>
      <c r="AD43">
        <v>27</v>
      </c>
      <c r="AE43" s="45">
        <v>115.3</v>
      </c>
      <c r="AF43" s="45">
        <v>115.8</v>
      </c>
      <c r="AG43" s="45">
        <v>327.2</v>
      </c>
      <c r="AH43" s="45">
        <v>558.3</v>
      </c>
      <c r="AI43">
        <v>5</v>
      </c>
      <c r="AJ43">
        <v>2</v>
      </c>
      <c r="AK43">
        <v>10</v>
      </c>
      <c r="AL43">
        <v>17</v>
      </c>
      <c r="AM43" s="45">
        <v>62.6</v>
      </c>
      <c r="AN43" s="45">
        <v>37.6</v>
      </c>
      <c r="AO43" s="45">
        <v>244.7</v>
      </c>
      <c r="AP43" s="45">
        <v>344.9</v>
      </c>
      <c r="AQ43">
        <v>0</v>
      </c>
      <c r="AR43">
        <v>0</v>
      </c>
      <c r="AS43">
        <v>10</v>
      </c>
      <c r="AT43">
        <v>10</v>
      </c>
      <c r="AU43" s="45">
        <v>0</v>
      </c>
      <c r="AV43" s="45">
        <v>0</v>
      </c>
      <c r="AW43" s="45">
        <v>583.7</v>
      </c>
      <c r="AX43" s="45">
        <v>583.7</v>
      </c>
      <c r="AY43">
        <v>1</v>
      </c>
      <c r="AZ43">
        <v>1</v>
      </c>
      <c r="BA43">
        <v>8</v>
      </c>
      <c r="BB43">
        <v>10</v>
      </c>
      <c r="BC43" s="45">
        <v>4.7</v>
      </c>
      <c r="BD43" s="45">
        <v>6.6</v>
      </c>
      <c r="BE43" s="45">
        <v>107.1</v>
      </c>
      <c r="BF43" s="45">
        <v>118.4</v>
      </c>
      <c r="BG43">
        <v>0</v>
      </c>
      <c r="BH43">
        <v>1</v>
      </c>
      <c r="BI43">
        <v>5</v>
      </c>
      <c r="BJ43">
        <v>6</v>
      </c>
      <c r="BK43" s="45">
        <v>0</v>
      </c>
      <c r="BL43" s="45">
        <v>59.9</v>
      </c>
      <c r="BM43" s="45">
        <v>609.5</v>
      </c>
      <c r="BN43" s="45">
        <v>669.4</v>
      </c>
      <c r="BO43">
        <v>718</v>
      </c>
      <c r="BP43">
        <v>186</v>
      </c>
      <c r="BQ43">
        <v>76</v>
      </c>
      <c r="BR43">
        <v>980</v>
      </c>
      <c r="BS43" s="45">
        <v>485.4</v>
      </c>
      <c r="BT43" s="45">
        <v>314.93</v>
      </c>
      <c r="BU43" s="45">
        <v>1899.35</v>
      </c>
      <c r="BV43" s="45">
        <v>2699.68</v>
      </c>
      <c r="BW43">
        <v>638</v>
      </c>
      <c r="BX43">
        <v>144</v>
      </c>
      <c r="BY43">
        <v>17</v>
      </c>
      <c r="BZ43">
        <v>799</v>
      </c>
      <c r="CA43" s="45">
        <v>121.43</v>
      </c>
      <c r="CB43" s="45">
        <v>27.94</v>
      </c>
      <c r="CC43" s="45">
        <v>3.3</v>
      </c>
      <c r="CD43" s="45">
        <v>152.67</v>
      </c>
      <c r="CE43">
        <v>47</v>
      </c>
      <c r="CF43">
        <v>17</v>
      </c>
      <c r="CG43">
        <v>3</v>
      </c>
      <c r="CH43">
        <v>67</v>
      </c>
      <c r="CI43" s="45">
        <v>104</v>
      </c>
      <c r="CJ43" s="45">
        <v>30.6</v>
      </c>
      <c r="CK43" s="45">
        <v>4.9</v>
      </c>
      <c r="CL43" s="45">
        <v>139.5</v>
      </c>
      <c r="CM43">
        <v>14</v>
      </c>
      <c r="CN43">
        <v>5</v>
      </c>
      <c r="CO43">
        <v>2</v>
      </c>
      <c r="CP43">
        <v>21</v>
      </c>
      <c r="CQ43" s="45">
        <v>72.1</v>
      </c>
      <c r="CR43" s="45">
        <v>26.9</v>
      </c>
      <c r="CS43" s="45">
        <v>15.9</v>
      </c>
      <c r="CT43" s="45">
        <v>114.9</v>
      </c>
      <c r="CU43">
        <v>6</v>
      </c>
      <c r="CV43">
        <v>6</v>
      </c>
      <c r="CW43">
        <v>14</v>
      </c>
      <c r="CX43">
        <v>26</v>
      </c>
      <c r="CY43" s="45">
        <v>110.6</v>
      </c>
      <c r="CZ43" s="45">
        <v>69.1</v>
      </c>
      <c r="DA43" s="45">
        <v>294.5</v>
      </c>
      <c r="DB43" s="45">
        <v>474.2</v>
      </c>
      <c r="DC43">
        <v>5</v>
      </c>
      <c r="DD43">
        <v>2</v>
      </c>
      <c r="DE43">
        <v>10</v>
      </c>
      <c r="DF43">
        <v>17</v>
      </c>
      <c r="DG43" s="45">
        <v>57.5</v>
      </c>
      <c r="DH43" s="45">
        <v>36.3</v>
      </c>
      <c r="DI43" s="45">
        <v>142.2</v>
      </c>
      <c r="DJ43" s="45">
        <v>236</v>
      </c>
      <c r="DK43">
        <v>0</v>
      </c>
      <c r="DL43">
        <v>0</v>
      </c>
      <c r="DM43">
        <v>9</v>
      </c>
      <c r="DN43">
        <v>9</v>
      </c>
      <c r="DO43" s="45">
        <v>0</v>
      </c>
      <c r="DP43" s="45">
        <v>0</v>
      </c>
      <c r="DQ43" s="45">
        <v>516.1</v>
      </c>
      <c r="DR43" s="45">
        <v>516.1</v>
      </c>
      <c r="DS43">
        <v>1</v>
      </c>
      <c r="DT43">
        <v>1</v>
      </c>
      <c r="DU43">
        <v>8</v>
      </c>
      <c r="DV43">
        <v>10</v>
      </c>
      <c r="DW43" s="45">
        <v>4.7</v>
      </c>
      <c r="DX43" s="45">
        <v>6.6</v>
      </c>
      <c r="DY43" s="45">
        <v>69.2</v>
      </c>
      <c r="DZ43" s="45">
        <v>80.5</v>
      </c>
      <c r="EA43">
        <v>0</v>
      </c>
      <c r="EB43">
        <v>1</v>
      </c>
      <c r="EC43">
        <v>4</v>
      </c>
      <c r="ED43">
        <v>5</v>
      </c>
      <c r="EE43">
        <v>0</v>
      </c>
      <c r="EF43" s="45">
        <v>59.9</v>
      </c>
      <c r="EG43" s="45">
        <v>505.9</v>
      </c>
      <c r="EH43" s="45">
        <v>565.8</v>
      </c>
      <c r="EI43">
        <v>711</v>
      </c>
      <c r="EJ43">
        <v>176</v>
      </c>
      <c r="EK43">
        <v>67</v>
      </c>
      <c r="EL43">
        <v>954</v>
      </c>
      <c r="EM43" s="45">
        <v>470.33</v>
      </c>
      <c r="EN43" s="45">
        <v>257.34</v>
      </c>
      <c r="EO43" s="45">
        <v>1552</v>
      </c>
      <c r="EP43">
        <v>2279.67</v>
      </c>
    </row>
    <row r="44" spans="1:146" ht="9">
      <c r="A44" s="65" t="s">
        <v>59</v>
      </c>
      <c r="B44">
        <v>17</v>
      </c>
      <c r="C44">
        <v>376</v>
      </c>
      <c r="D44">
        <v>156</v>
      </c>
      <c r="E44">
        <v>11</v>
      </c>
      <c r="F44">
        <v>543</v>
      </c>
      <c r="G44" s="45">
        <v>97.63</v>
      </c>
      <c r="H44" s="45">
        <v>40.71</v>
      </c>
      <c r="I44" s="45">
        <v>2.97</v>
      </c>
      <c r="J44" s="45">
        <v>141.31</v>
      </c>
      <c r="K44">
        <v>37</v>
      </c>
      <c r="L44">
        <v>22</v>
      </c>
      <c r="M44">
        <v>3</v>
      </c>
      <c r="N44">
        <v>62</v>
      </c>
      <c r="O44" s="45">
        <v>93.7</v>
      </c>
      <c r="P44" s="45">
        <v>91.11</v>
      </c>
      <c r="Q44" s="45">
        <v>24.9</v>
      </c>
      <c r="R44" s="45">
        <v>209.71</v>
      </c>
      <c r="S44">
        <v>10</v>
      </c>
      <c r="T44">
        <v>7</v>
      </c>
      <c r="U44">
        <v>10</v>
      </c>
      <c r="V44">
        <v>27</v>
      </c>
      <c r="W44" s="45">
        <v>69.1</v>
      </c>
      <c r="X44" s="45">
        <v>32.7</v>
      </c>
      <c r="Y44" s="45">
        <v>81.8</v>
      </c>
      <c r="Z44" s="45">
        <v>183.6</v>
      </c>
      <c r="AA44">
        <v>7</v>
      </c>
      <c r="AB44">
        <v>5</v>
      </c>
      <c r="AC44">
        <v>10</v>
      </c>
      <c r="AD44">
        <v>22</v>
      </c>
      <c r="AE44" s="45">
        <v>261.1</v>
      </c>
      <c r="AF44" s="45">
        <v>175.9</v>
      </c>
      <c r="AG44" s="45">
        <v>266.1</v>
      </c>
      <c r="AH44" s="45">
        <v>703.1</v>
      </c>
      <c r="AI44">
        <v>3</v>
      </c>
      <c r="AJ44">
        <v>2</v>
      </c>
      <c r="AK44">
        <v>7</v>
      </c>
      <c r="AL44">
        <v>12</v>
      </c>
      <c r="AM44" s="45">
        <v>28.3</v>
      </c>
      <c r="AN44" s="45">
        <v>27.9</v>
      </c>
      <c r="AO44" s="45">
        <v>171.9</v>
      </c>
      <c r="AP44" s="45">
        <v>228.1</v>
      </c>
      <c r="AQ44">
        <v>2</v>
      </c>
      <c r="AR44">
        <v>1</v>
      </c>
      <c r="AS44">
        <v>2</v>
      </c>
      <c r="AT44">
        <v>5</v>
      </c>
      <c r="AU44" s="45">
        <v>42.4</v>
      </c>
      <c r="AV44" s="45">
        <v>2</v>
      </c>
      <c r="AW44" s="45">
        <v>1.7</v>
      </c>
      <c r="AX44" s="45">
        <v>46.1</v>
      </c>
      <c r="AY44">
        <v>6</v>
      </c>
      <c r="AZ44">
        <v>0</v>
      </c>
      <c r="BA44">
        <v>3</v>
      </c>
      <c r="BB44">
        <v>9</v>
      </c>
      <c r="BC44" s="45">
        <v>6.5</v>
      </c>
      <c r="BD44" s="45">
        <v>0</v>
      </c>
      <c r="BE44" s="45">
        <v>16.5</v>
      </c>
      <c r="BF44" s="45">
        <v>23</v>
      </c>
      <c r="BG44">
        <v>1</v>
      </c>
      <c r="BH44">
        <v>0</v>
      </c>
      <c r="BI44">
        <v>4</v>
      </c>
      <c r="BJ44">
        <v>5</v>
      </c>
      <c r="BK44" s="45">
        <v>67</v>
      </c>
      <c r="BL44" s="45">
        <v>0</v>
      </c>
      <c r="BM44" s="45">
        <v>439.5</v>
      </c>
      <c r="BN44" s="45">
        <v>506.5</v>
      </c>
      <c r="BO44">
        <v>442</v>
      </c>
      <c r="BP44">
        <v>193</v>
      </c>
      <c r="BQ44">
        <v>50</v>
      </c>
      <c r="BR44">
        <v>685</v>
      </c>
      <c r="BS44" s="45">
        <v>665.73</v>
      </c>
      <c r="BT44" s="45">
        <v>370.32</v>
      </c>
      <c r="BU44" s="45">
        <v>1005.37</v>
      </c>
      <c r="BV44" s="45">
        <v>2041.42</v>
      </c>
      <c r="BW44">
        <v>330</v>
      </c>
      <c r="BX44">
        <v>134</v>
      </c>
      <c r="BY44">
        <v>8</v>
      </c>
      <c r="BZ44">
        <v>472</v>
      </c>
      <c r="CA44" s="45">
        <v>74.12</v>
      </c>
      <c r="CB44" s="45">
        <v>32.89</v>
      </c>
      <c r="CC44" s="45">
        <v>1.9</v>
      </c>
      <c r="CD44" s="45">
        <v>108.91</v>
      </c>
      <c r="CE44">
        <v>26</v>
      </c>
      <c r="CF44">
        <v>13</v>
      </c>
      <c r="CG44">
        <v>1</v>
      </c>
      <c r="CH44">
        <v>40</v>
      </c>
      <c r="CI44" s="45">
        <v>43.8</v>
      </c>
      <c r="CJ44" s="45">
        <v>33.1</v>
      </c>
      <c r="CK44" s="45">
        <v>14.6</v>
      </c>
      <c r="CL44" s="45">
        <v>91.5</v>
      </c>
      <c r="CM44">
        <v>9</v>
      </c>
      <c r="CN44">
        <v>5</v>
      </c>
      <c r="CO44">
        <v>9</v>
      </c>
      <c r="CP44">
        <v>23</v>
      </c>
      <c r="CQ44" s="45">
        <v>53.9</v>
      </c>
      <c r="CR44" s="45">
        <v>19.5</v>
      </c>
      <c r="CS44" s="45">
        <v>72.8</v>
      </c>
      <c r="CT44" s="45">
        <v>146.2</v>
      </c>
      <c r="CU44">
        <v>7</v>
      </c>
      <c r="CV44">
        <v>4</v>
      </c>
      <c r="CW44">
        <v>10</v>
      </c>
      <c r="CX44">
        <v>21</v>
      </c>
      <c r="CY44" s="45">
        <v>209.5</v>
      </c>
      <c r="CZ44" s="45">
        <v>144.6</v>
      </c>
      <c r="DA44" s="45">
        <v>192.2</v>
      </c>
      <c r="DB44" s="45">
        <v>546.3</v>
      </c>
      <c r="DC44">
        <v>3</v>
      </c>
      <c r="DD44">
        <v>1</v>
      </c>
      <c r="DE44">
        <v>7</v>
      </c>
      <c r="DF44">
        <v>11</v>
      </c>
      <c r="DG44" s="45">
        <v>28.3</v>
      </c>
      <c r="DH44" s="45">
        <v>16</v>
      </c>
      <c r="DI44" s="45">
        <v>108.9</v>
      </c>
      <c r="DJ44" s="45">
        <v>153.2</v>
      </c>
      <c r="DK44">
        <v>1</v>
      </c>
      <c r="DL44">
        <v>1</v>
      </c>
      <c r="DM44">
        <v>0</v>
      </c>
      <c r="DN44">
        <v>2</v>
      </c>
      <c r="DO44" s="45">
        <v>4.6</v>
      </c>
      <c r="DP44" s="45">
        <v>2</v>
      </c>
      <c r="DQ44" s="45">
        <v>0</v>
      </c>
      <c r="DR44" s="45">
        <v>6.6</v>
      </c>
      <c r="DS44">
        <v>6</v>
      </c>
      <c r="DT44">
        <v>0</v>
      </c>
      <c r="DU44">
        <v>3</v>
      </c>
      <c r="DV44">
        <v>9</v>
      </c>
      <c r="DW44" s="45">
        <v>6.2</v>
      </c>
      <c r="DX44" s="45">
        <v>0</v>
      </c>
      <c r="DY44" s="45">
        <v>14.3</v>
      </c>
      <c r="DZ44" s="45">
        <v>20.5</v>
      </c>
      <c r="EA44">
        <v>1</v>
      </c>
      <c r="EB44">
        <v>0</v>
      </c>
      <c r="EC44">
        <v>4</v>
      </c>
      <c r="ED44">
        <v>5</v>
      </c>
      <c r="EE44">
        <v>43.5</v>
      </c>
      <c r="EF44" s="45">
        <v>0</v>
      </c>
      <c r="EG44" s="45">
        <v>376.8</v>
      </c>
      <c r="EH44" s="45">
        <v>420.3</v>
      </c>
      <c r="EI44">
        <v>383</v>
      </c>
      <c r="EJ44">
        <v>158</v>
      </c>
      <c r="EK44">
        <v>42</v>
      </c>
      <c r="EL44">
        <v>583</v>
      </c>
      <c r="EM44" s="45">
        <v>463.92</v>
      </c>
      <c r="EN44" s="45">
        <v>248.09</v>
      </c>
      <c r="EO44" s="45">
        <v>781.5</v>
      </c>
      <c r="EP44">
        <v>1493.51</v>
      </c>
    </row>
    <row r="45" spans="1:146" ht="9">
      <c r="A45" s="50" t="s">
        <v>101</v>
      </c>
      <c r="B45" s="66">
        <v>79</v>
      </c>
      <c r="C45" s="66">
        <v>1589</v>
      </c>
      <c r="D45" s="66">
        <v>509</v>
      </c>
      <c r="E45" s="66">
        <v>114</v>
      </c>
      <c r="F45" s="66">
        <v>2212</v>
      </c>
      <c r="G45" s="67">
        <v>347.17</v>
      </c>
      <c r="H45" s="67">
        <v>121.25</v>
      </c>
      <c r="I45" s="67">
        <v>33.72</v>
      </c>
      <c r="J45" s="67">
        <v>502.14</v>
      </c>
      <c r="K45" s="66">
        <v>116</v>
      </c>
      <c r="L45" s="66">
        <v>62</v>
      </c>
      <c r="M45" s="66">
        <v>27</v>
      </c>
      <c r="N45" s="66">
        <v>205</v>
      </c>
      <c r="O45" s="67">
        <v>271.9</v>
      </c>
      <c r="P45" s="67">
        <v>168.01</v>
      </c>
      <c r="Q45" s="67">
        <v>77.3</v>
      </c>
      <c r="R45" s="67">
        <v>517.21</v>
      </c>
      <c r="S45" s="66">
        <v>27</v>
      </c>
      <c r="T45" s="66">
        <v>19</v>
      </c>
      <c r="U45" s="66">
        <v>28</v>
      </c>
      <c r="V45" s="66">
        <v>74</v>
      </c>
      <c r="W45" s="67">
        <v>158.2</v>
      </c>
      <c r="X45" s="67">
        <v>121.4</v>
      </c>
      <c r="Y45" s="67">
        <v>220.9</v>
      </c>
      <c r="Z45" s="67">
        <v>500.5</v>
      </c>
      <c r="AA45" s="66">
        <v>23</v>
      </c>
      <c r="AB45" s="66">
        <v>17</v>
      </c>
      <c r="AC45" s="66">
        <v>54</v>
      </c>
      <c r="AD45" s="66">
        <v>94</v>
      </c>
      <c r="AE45" s="67">
        <v>528.5</v>
      </c>
      <c r="AF45" s="67">
        <v>384.6</v>
      </c>
      <c r="AG45" s="67">
        <v>1876.8</v>
      </c>
      <c r="AH45" s="67">
        <v>2789.9</v>
      </c>
      <c r="AI45" s="66">
        <v>14</v>
      </c>
      <c r="AJ45" s="66">
        <v>13</v>
      </c>
      <c r="AK45" s="66">
        <v>33</v>
      </c>
      <c r="AL45" s="66">
        <v>60</v>
      </c>
      <c r="AM45" s="67">
        <v>196.7</v>
      </c>
      <c r="AN45" s="67">
        <v>218.6</v>
      </c>
      <c r="AO45" s="67">
        <v>683.28</v>
      </c>
      <c r="AP45" s="67">
        <v>1098.58</v>
      </c>
      <c r="AQ45" s="66">
        <v>5</v>
      </c>
      <c r="AR45" s="66">
        <v>2</v>
      </c>
      <c r="AS45" s="66">
        <v>20</v>
      </c>
      <c r="AT45" s="66">
        <v>27</v>
      </c>
      <c r="AU45" s="67">
        <v>203.5</v>
      </c>
      <c r="AV45" s="67">
        <v>4.9</v>
      </c>
      <c r="AW45" s="67">
        <v>892.6</v>
      </c>
      <c r="AX45" s="67">
        <v>1101</v>
      </c>
      <c r="AY45" s="66">
        <v>14</v>
      </c>
      <c r="AZ45" s="66">
        <v>4</v>
      </c>
      <c r="BA45" s="66">
        <v>16</v>
      </c>
      <c r="BB45" s="66">
        <v>34</v>
      </c>
      <c r="BC45" s="67">
        <v>87.1</v>
      </c>
      <c r="BD45" s="67">
        <v>15.1</v>
      </c>
      <c r="BE45" s="67">
        <v>375.7</v>
      </c>
      <c r="BF45" s="67">
        <v>477.9</v>
      </c>
      <c r="BG45" s="66">
        <v>1</v>
      </c>
      <c r="BH45" s="66">
        <v>1</v>
      </c>
      <c r="BI45" s="66">
        <v>15</v>
      </c>
      <c r="BJ45" s="66">
        <v>17</v>
      </c>
      <c r="BK45" s="67">
        <v>67</v>
      </c>
      <c r="BL45" s="67">
        <v>59.9</v>
      </c>
      <c r="BM45" s="67">
        <v>2022.5</v>
      </c>
      <c r="BN45" s="67">
        <v>2149.4</v>
      </c>
      <c r="BO45" s="66">
        <v>1789</v>
      </c>
      <c r="BP45" s="66">
        <v>627</v>
      </c>
      <c r="BQ45" s="66">
        <v>307</v>
      </c>
      <c r="BR45" s="66">
        <v>2723</v>
      </c>
      <c r="BS45" s="67">
        <v>1860.07</v>
      </c>
      <c r="BT45" s="67">
        <v>1093.76</v>
      </c>
      <c r="BU45" s="67">
        <v>6182.8</v>
      </c>
      <c r="BV45" s="67">
        <v>9136.63</v>
      </c>
      <c r="BW45" s="66">
        <v>1531</v>
      </c>
      <c r="BX45" s="66">
        <v>478</v>
      </c>
      <c r="BY45" s="66">
        <v>104</v>
      </c>
      <c r="BZ45" s="66">
        <v>2113</v>
      </c>
      <c r="CA45" s="67">
        <v>320.81</v>
      </c>
      <c r="CB45" s="67">
        <v>112.62</v>
      </c>
      <c r="CC45" s="67">
        <v>30.35</v>
      </c>
      <c r="CD45" s="67">
        <v>463.78</v>
      </c>
      <c r="CE45" s="66">
        <v>98</v>
      </c>
      <c r="CF45" s="66">
        <v>50</v>
      </c>
      <c r="CG45" s="66">
        <v>23</v>
      </c>
      <c r="CH45" s="66">
        <v>171</v>
      </c>
      <c r="CI45" s="67">
        <v>207.3</v>
      </c>
      <c r="CJ45" s="67">
        <v>101.15</v>
      </c>
      <c r="CK45" s="67">
        <v>60.4</v>
      </c>
      <c r="CL45" s="67">
        <v>368.85</v>
      </c>
      <c r="CM45" s="66">
        <v>26</v>
      </c>
      <c r="CN45" s="66">
        <v>17</v>
      </c>
      <c r="CO45" s="66">
        <v>27</v>
      </c>
      <c r="CP45" s="66">
        <v>70</v>
      </c>
      <c r="CQ45" s="67">
        <v>142.7</v>
      </c>
      <c r="CR45" s="67">
        <v>95.5</v>
      </c>
      <c r="CS45" s="67">
        <v>201.28</v>
      </c>
      <c r="CT45" s="67">
        <v>439.48</v>
      </c>
      <c r="CU45" s="66">
        <v>23</v>
      </c>
      <c r="CV45" s="66">
        <v>15</v>
      </c>
      <c r="CW45" s="66">
        <v>53</v>
      </c>
      <c r="CX45" s="66">
        <v>91</v>
      </c>
      <c r="CY45" s="67">
        <v>454.6</v>
      </c>
      <c r="CZ45" s="67">
        <v>283.6</v>
      </c>
      <c r="DA45" s="67">
        <v>939.75</v>
      </c>
      <c r="DB45" s="67">
        <v>1677.95</v>
      </c>
      <c r="DC45" s="66">
        <v>15</v>
      </c>
      <c r="DD45" s="66">
        <v>11</v>
      </c>
      <c r="DE45" s="66">
        <v>33</v>
      </c>
      <c r="DF45" s="66">
        <v>59</v>
      </c>
      <c r="DG45" s="67">
        <v>183</v>
      </c>
      <c r="DH45" s="67">
        <v>191.7</v>
      </c>
      <c r="DI45" s="67">
        <v>483.78</v>
      </c>
      <c r="DJ45" s="67">
        <v>858.48</v>
      </c>
      <c r="DK45" s="66">
        <v>4</v>
      </c>
      <c r="DL45" s="66">
        <v>2</v>
      </c>
      <c r="DM45" s="66">
        <v>17</v>
      </c>
      <c r="DN45" s="66">
        <v>23</v>
      </c>
      <c r="DO45" s="67">
        <v>89.6</v>
      </c>
      <c r="DP45" s="67">
        <v>4.9</v>
      </c>
      <c r="DQ45" s="67">
        <v>805.72</v>
      </c>
      <c r="DR45" s="67">
        <v>900.22</v>
      </c>
      <c r="DS45" s="66">
        <v>13</v>
      </c>
      <c r="DT45" s="66">
        <v>4</v>
      </c>
      <c r="DU45" s="66">
        <v>16</v>
      </c>
      <c r="DV45" s="66">
        <v>33</v>
      </c>
      <c r="DW45" s="67">
        <v>73.3</v>
      </c>
      <c r="DX45" s="67">
        <v>15.1</v>
      </c>
      <c r="DY45" s="67">
        <v>190.3</v>
      </c>
      <c r="DZ45" s="67">
        <v>278.7</v>
      </c>
      <c r="EA45" s="66">
        <v>1</v>
      </c>
      <c r="EB45" s="66">
        <v>1</v>
      </c>
      <c r="EC45" s="66">
        <v>14</v>
      </c>
      <c r="ED45" s="66">
        <v>16</v>
      </c>
      <c r="EE45" s="66">
        <v>43.5</v>
      </c>
      <c r="EF45" s="67">
        <v>59.9</v>
      </c>
      <c r="EG45" s="67">
        <v>1249.5</v>
      </c>
      <c r="EH45" s="67">
        <v>1352.9</v>
      </c>
      <c r="EI45" s="66">
        <v>1711</v>
      </c>
      <c r="EJ45" s="66">
        <v>578</v>
      </c>
      <c r="EK45" s="66">
        <v>287</v>
      </c>
      <c r="EL45" s="66">
        <v>2576</v>
      </c>
      <c r="EM45" s="67">
        <v>1514.81</v>
      </c>
      <c r="EN45" s="67">
        <v>864.47</v>
      </c>
      <c r="EO45" s="67">
        <v>3961.08</v>
      </c>
      <c r="EP45" s="66">
        <v>6340.36</v>
      </c>
    </row>
    <row r="46" spans="1:146" ht="9">
      <c r="A46" s="53" t="s">
        <v>60</v>
      </c>
      <c r="B46">
        <v>12</v>
      </c>
      <c r="C46">
        <v>40</v>
      </c>
      <c r="D46">
        <v>24</v>
      </c>
      <c r="E46">
        <v>9</v>
      </c>
      <c r="F46">
        <v>73</v>
      </c>
      <c r="G46" s="45">
        <v>7.77</v>
      </c>
      <c r="H46" s="45">
        <v>4.09</v>
      </c>
      <c r="I46" s="45">
        <v>1.73</v>
      </c>
      <c r="J46" s="45">
        <v>13.59</v>
      </c>
      <c r="K46">
        <v>4</v>
      </c>
      <c r="L46">
        <v>2</v>
      </c>
      <c r="M46">
        <v>6</v>
      </c>
      <c r="N46">
        <v>12</v>
      </c>
      <c r="O46" s="45">
        <v>5</v>
      </c>
      <c r="P46" s="45">
        <v>4.4</v>
      </c>
      <c r="Q46" s="45">
        <v>11.5</v>
      </c>
      <c r="R46" s="45">
        <v>20.9</v>
      </c>
      <c r="S46">
        <v>2</v>
      </c>
      <c r="T46">
        <v>0</v>
      </c>
      <c r="U46">
        <v>3</v>
      </c>
      <c r="V46">
        <v>5</v>
      </c>
      <c r="W46" s="45">
        <v>10.6</v>
      </c>
      <c r="X46" s="45">
        <v>0</v>
      </c>
      <c r="Y46" s="45">
        <v>11.8</v>
      </c>
      <c r="Z46" s="45">
        <v>22.4</v>
      </c>
      <c r="AA46">
        <v>1</v>
      </c>
      <c r="AB46">
        <v>2</v>
      </c>
      <c r="AC46">
        <v>5</v>
      </c>
      <c r="AD46">
        <v>8</v>
      </c>
      <c r="AE46" s="45">
        <v>23.5</v>
      </c>
      <c r="AF46" s="45">
        <v>29.3</v>
      </c>
      <c r="AG46" s="45">
        <v>133.9</v>
      </c>
      <c r="AH46" s="45">
        <v>186.7</v>
      </c>
      <c r="AI46">
        <v>3</v>
      </c>
      <c r="AJ46">
        <v>0</v>
      </c>
      <c r="AK46">
        <v>1</v>
      </c>
      <c r="AL46">
        <v>4</v>
      </c>
      <c r="AM46" s="45">
        <v>48.9</v>
      </c>
      <c r="AN46" s="45">
        <v>0</v>
      </c>
      <c r="AO46" s="45">
        <v>7.5</v>
      </c>
      <c r="AP46" s="45">
        <v>56.4</v>
      </c>
      <c r="AQ46">
        <v>0</v>
      </c>
      <c r="AR46">
        <v>1</v>
      </c>
      <c r="AS46">
        <v>2</v>
      </c>
      <c r="AT46">
        <v>3</v>
      </c>
      <c r="AU46" s="45">
        <v>0</v>
      </c>
      <c r="AV46" s="45">
        <v>5.2</v>
      </c>
      <c r="AW46" s="45">
        <v>78.2</v>
      </c>
      <c r="AX46" s="45">
        <v>83.4</v>
      </c>
      <c r="AY46">
        <v>1</v>
      </c>
      <c r="AZ46">
        <v>0</v>
      </c>
      <c r="BA46">
        <v>2</v>
      </c>
      <c r="BB46">
        <v>3</v>
      </c>
      <c r="BC46" s="45">
        <v>1.82</v>
      </c>
      <c r="BD46" s="45">
        <v>0</v>
      </c>
      <c r="BE46" s="45">
        <v>104.1</v>
      </c>
      <c r="BF46" s="45">
        <v>105.92</v>
      </c>
      <c r="BG46">
        <v>0</v>
      </c>
      <c r="BH46">
        <v>0</v>
      </c>
      <c r="BI46">
        <v>2</v>
      </c>
      <c r="BJ46">
        <v>2</v>
      </c>
      <c r="BK46" s="45">
        <v>0</v>
      </c>
      <c r="BL46" s="45">
        <v>0</v>
      </c>
      <c r="BM46" s="45">
        <v>152.2</v>
      </c>
      <c r="BN46" s="45">
        <v>152.2</v>
      </c>
      <c r="BO46">
        <v>51</v>
      </c>
      <c r="BP46">
        <v>29</v>
      </c>
      <c r="BQ46">
        <v>30</v>
      </c>
      <c r="BR46">
        <v>110</v>
      </c>
      <c r="BS46" s="45">
        <v>97.59</v>
      </c>
      <c r="BT46" s="45">
        <v>42.99</v>
      </c>
      <c r="BU46" s="45">
        <v>500.93</v>
      </c>
      <c r="BV46" s="45">
        <v>641.51</v>
      </c>
      <c r="BW46">
        <v>39</v>
      </c>
      <c r="BX46">
        <v>23</v>
      </c>
      <c r="BY46">
        <v>9</v>
      </c>
      <c r="BZ46">
        <v>71</v>
      </c>
      <c r="CA46" s="45">
        <v>7.73</v>
      </c>
      <c r="CB46" s="45">
        <v>3.8</v>
      </c>
      <c r="CC46" s="45">
        <v>1.55</v>
      </c>
      <c r="CD46" s="45">
        <v>13.08</v>
      </c>
      <c r="CE46">
        <v>4</v>
      </c>
      <c r="CF46">
        <v>2</v>
      </c>
      <c r="CG46">
        <v>6</v>
      </c>
      <c r="CH46">
        <v>12</v>
      </c>
      <c r="CI46" s="45">
        <v>5</v>
      </c>
      <c r="CJ46" s="45">
        <v>4.4</v>
      </c>
      <c r="CK46" s="45">
        <v>11.4</v>
      </c>
      <c r="CL46" s="45">
        <v>20.8</v>
      </c>
      <c r="CM46">
        <v>2</v>
      </c>
      <c r="CN46">
        <v>0</v>
      </c>
      <c r="CO46">
        <v>3</v>
      </c>
      <c r="CP46">
        <v>5</v>
      </c>
      <c r="CQ46" s="45">
        <v>10</v>
      </c>
      <c r="CR46" s="45">
        <v>0</v>
      </c>
      <c r="CS46" s="45">
        <v>9.5</v>
      </c>
      <c r="CT46" s="45">
        <v>19.5</v>
      </c>
      <c r="CU46">
        <v>1</v>
      </c>
      <c r="CV46">
        <v>2</v>
      </c>
      <c r="CW46">
        <v>5</v>
      </c>
      <c r="CX46">
        <v>8</v>
      </c>
      <c r="CY46" s="45">
        <v>20</v>
      </c>
      <c r="CZ46" s="45">
        <v>27.8</v>
      </c>
      <c r="DA46" s="45">
        <v>61.6</v>
      </c>
      <c r="DB46" s="45">
        <v>109.4</v>
      </c>
      <c r="DC46">
        <v>2</v>
      </c>
      <c r="DD46">
        <v>0</v>
      </c>
      <c r="DE46">
        <v>1</v>
      </c>
      <c r="DF46">
        <v>3</v>
      </c>
      <c r="DG46" s="45">
        <v>34.7</v>
      </c>
      <c r="DH46" s="45">
        <v>0</v>
      </c>
      <c r="DI46" s="45">
        <v>7.5</v>
      </c>
      <c r="DJ46" s="45">
        <v>42.2</v>
      </c>
      <c r="DK46">
        <v>0</v>
      </c>
      <c r="DL46">
        <v>1</v>
      </c>
      <c r="DM46">
        <v>2</v>
      </c>
      <c r="DN46">
        <v>3</v>
      </c>
      <c r="DO46" s="45">
        <v>0</v>
      </c>
      <c r="DP46" s="45">
        <v>3.4</v>
      </c>
      <c r="DQ46" s="45">
        <v>28.9</v>
      </c>
      <c r="DR46" s="45">
        <v>32.3</v>
      </c>
      <c r="DS46">
        <v>0</v>
      </c>
      <c r="DT46">
        <v>0</v>
      </c>
      <c r="DU46">
        <v>2</v>
      </c>
      <c r="DV46">
        <v>2</v>
      </c>
      <c r="DW46" s="45">
        <v>0</v>
      </c>
      <c r="DX46" s="45">
        <v>0</v>
      </c>
      <c r="DY46" s="45">
        <v>78.2</v>
      </c>
      <c r="DZ46" s="45">
        <v>78.2</v>
      </c>
      <c r="EA46">
        <v>0</v>
      </c>
      <c r="EB46">
        <v>0</v>
      </c>
      <c r="EC46">
        <v>2</v>
      </c>
      <c r="ED46">
        <v>2</v>
      </c>
      <c r="EE46">
        <v>0</v>
      </c>
      <c r="EF46" s="45">
        <v>0</v>
      </c>
      <c r="EG46" s="45">
        <v>65.8</v>
      </c>
      <c r="EH46" s="45">
        <v>65.8</v>
      </c>
      <c r="EI46">
        <v>48</v>
      </c>
      <c r="EJ46">
        <v>28</v>
      </c>
      <c r="EK46">
        <v>30</v>
      </c>
      <c r="EL46">
        <v>106</v>
      </c>
      <c r="EM46" s="45">
        <v>77.43</v>
      </c>
      <c r="EN46" s="45">
        <v>39.4</v>
      </c>
      <c r="EO46" s="45">
        <v>264.45</v>
      </c>
      <c r="EP46">
        <v>381.28</v>
      </c>
    </row>
    <row r="47" spans="1:146" ht="9">
      <c r="A47" s="53" t="s">
        <v>61</v>
      </c>
      <c r="B47">
        <v>14</v>
      </c>
      <c r="C47">
        <v>94</v>
      </c>
      <c r="D47">
        <v>22</v>
      </c>
      <c r="E47">
        <v>10</v>
      </c>
      <c r="F47">
        <v>126</v>
      </c>
      <c r="G47" s="45">
        <v>22.06</v>
      </c>
      <c r="H47" s="45">
        <v>6.25</v>
      </c>
      <c r="I47" s="45">
        <v>2.8</v>
      </c>
      <c r="J47" s="45">
        <v>31.11</v>
      </c>
      <c r="K47">
        <v>9</v>
      </c>
      <c r="L47">
        <v>5</v>
      </c>
      <c r="M47">
        <v>7</v>
      </c>
      <c r="N47">
        <v>21</v>
      </c>
      <c r="O47" s="45">
        <v>12.4</v>
      </c>
      <c r="P47" s="45">
        <v>8.1</v>
      </c>
      <c r="Q47" s="45">
        <v>18.2</v>
      </c>
      <c r="R47" s="45">
        <v>38.7</v>
      </c>
      <c r="S47">
        <v>1</v>
      </c>
      <c r="T47">
        <v>2</v>
      </c>
      <c r="U47">
        <v>9</v>
      </c>
      <c r="V47">
        <v>12</v>
      </c>
      <c r="W47" s="45">
        <v>3.4</v>
      </c>
      <c r="X47" s="45">
        <v>9.9</v>
      </c>
      <c r="Y47" s="45">
        <v>54.8</v>
      </c>
      <c r="Z47" s="45">
        <v>68.1</v>
      </c>
      <c r="AA47">
        <v>0</v>
      </c>
      <c r="AB47">
        <v>0</v>
      </c>
      <c r="AC47">
        <v>6</v>
      </c>
      <c r="AD47">
        <v>6</v>
      </c>
      <c r="AE47" s="45">
        <v>0</v>
      </c>
      <c r="AF47" s="45">
        <v>0</v>
      </c>
      <c r="AG47" s="45">
        <v>76.9</v>
      </c>
      <c r="AH47" s="45">
        <v>76.9</v>
      </c>
      <c r="AI47">
        <v>0</v>
      </c>
      <c r="AJ47">
        <v>1</v>
      </c>
      <c r="AK47">
        <v>5</v>
      </c>
      <c r="AL47">
        <v>6</v>
      </c>
      <c r="AM47" s="45">
        <v>0</v>
      </c>
      <c r="AN47" s="45">
        <v>37.8</v>
      </c>
      <c r="AO47" s="45">
        <v>114.9</v>
      </c>
      <c r="AP47" s="45">
        <v>152.7</v>
      </c>
      <c r="AQ47">
        <v>1</v>
      </c>
      <c r="AR47">
        <v>1</v>
      </c>
      <c r="AS47">
        <v>3</v>
      </c>
      <c r="AT47">
        <v>5</v>
      </c>
      <c r="AU47" s="45">
        <v>38.7</v>
      </c>
      <c r="AV47" s="45">
        <v>11.1</v>
      </c>
      <c r="AW47" s="45">
        <v>62.6</v>
      </c>
      <c r="AX47" s="45">
        <v>112.4</v>
      </c>
      <c r="AY47">
        <v>2</v>
      </c>
      <c r="AZ47">
        <v>0</v>
      </c>
      <c r="BA47">
        <v>1</v>
      </c>
      <c r="BB47">
        <v>3</v>
      </c>
      <c r="BC47" s="45">
        <v>29.4</v>
      </c>
      <c r="BD47" s="45">
        <v>0</v>
      </c>
      <c r="BE47" s="45">
        <v>75.4</v>
      </c>
      <c r="BF47" s="45">
        <v>104.8</v>
      </c>
      <c r="BG47">
        <v>0</v>
      </c>
      <c r="BH47">
        <v>0</v>
      </c>
      <c r="BI47">
        <v>2</v>
      </c>
      <c r="BJ47">
        <v>2</v>
      </c>
      <c r="BK47" s="45">
        <v>0</v>
      </c>
      <c r="BL47" s="45">
        <v>0</v>
      </c>
      <c r="BM47" s="45">
        <v>450.3</v>
      </c>
      <c r="BN47" s="45">
        <v>450.3</v>
      </c>
      <c r="BO47">
        <v>107</v>
      </c>
      <c r="BP47">
        <v>31</v>
      </c>
      <c r="BQ47">
        <v>43</v>
      </c>
      <c r="BR47">
        <v>181</v>
      </c>
      <c r="BS47" s="45">
        <v>105.96</v>
      </c>
      <c r="BT47" s="45">
        <v>73.15</v>
      </c>
      <c r="BU47" s="45">
        <v>855.9</v>
      </c>
      <c r="BV47" s="45">
        <v>1035.01</v>
      </c>
      <c r="BW47">
        <v>92</v>
      </c>
      <c r="BX47">
        <v>22</v>
      </c>
      <c r="BY47">
        <v>9</v>
      </c>
      <c r="BZ47">
        <v>123</v>
      </c>
      <c r="CA47" s="45">
        <v>20.32</v>
      </c>
      <c r="CB47" s="45">
        <v>6.13</v>
      </c>
      <c r="CC47" s="45">
        <v>2.57</v>
      </c>
      <c r="CD47" s="45">
        <v>29.02</v>
      </c>
      <c r="CE47">
        <v>8</v>
      </c>
      <c r="CF47">
        <v>5</v>
      </c>
      <c r="CG47">
        <v>6</v>
      </c>
      <c r="CH47">
        <v>19</v>
      </c>
      <c r="CI47" s="45">
        <v>11.1</v>
      </c>
      <c r="CJ47" s="45">
        <v>7.7</v>
      </c>
      <c r="CK47" s="45">
        <v>15.5</v>
      </c>
      <c r="CL47" s="45">
        <v>34.3</v>
      </c>
      <c r="CM47">
        <v>1</v>
      </c>
      <c r="CN47">
        <v>2</v>
      </c>
      <c r="CO47">
        <v>9</v>
      </c>
      <c r="CP47">
        <v>12</v>
      </c>
      <c r="CQ47" s="45">
        <v>3.4</v>
      </c>
      <c r="CR47" s="45">
        <v>8.3</v>
      </c>
      <c r="CS47" s="45">
        <v>54.5</v>
      </c>
      <c r="CT47" s="45">
        <v>66.2</v>
      </c>
      <c r="CU47">
        <v>0</v>
      </c>
      <c r="CV47">
        <v>0</v>
      </c>
      <c r="CW47">
        <v>6</v>
      </c>
      <c r="CX47">
        <v>6</v>
      </c>
      <c r="CY47" s="45">
        <v>0</v>
      </c>
      <c r="CZ47" s="45">
        <v>0</v>
      </c>
      <c r="DA47" s="45">
        <v>73.9</v>
      </c>
      <c r="DB47" s="45">
        <v>73.9</v>
      </c>
      <c r="DC47">
        <v>0</v>
      </c>
      <c r="DD47">
        <v>1</v>
      </c>
      <c r="DE47">
        <v>4</v>
      </c>
      <c r="DF47">
        <v>5</v>
      </c>
      <c r="DG47" s="45">
        <v>0</v>
      </c>
      <c r="DH47" s="45">
        <v>31.4</v>
      </c>
      <c r="DI47" s="45">
        <v>76.2</v>
      </c>
      <c r="DJ47" s="45">
        <v>107.6</v>
      </c>
      <c r="DK47">
        <v>1</v>
      </c>
      <c r="DL47">
        <v>1</v>
      </c>
      <c r="DM47">
        <v>3</v>
      </c>
      <c r="DN47">
        <v>5</v>
      </c>
      <c r="DO47" s="45">
        <v>38.6</v>
      </c>
      <c r="DP47" s="45">
        <v>10.1</v>
      </c>
      <c r="DQ47" s="45">
        <v>47.9</v>
      </c>
      <c r="DR47" s="45">
        <v>96.6</v>
      </c>
      <c r="DS47">
        <v>2</v>
      </c>
      <c r="DT47">
        <v>0</v>
      </c>
      <c r="DU47">
        <v>1</v>
      </c>
      <c r="DV47">
        <v>3</v>
      </c>
      <c r="DW47" s="45">
        <v>28.5</v>
      </c>
      <c r="DX47" s="45">
        <v>0</v>
      </c>
      <c r="DY47" s="45">
        <v>75.3</v>
      </c>
      <c r="DZ47" s="45">
        <v>103.8</v>
      </c>
      <c r="EA47">
        <v>0</v>
      </c>
      <c r="EB47">
        <v>0</v>
      </c>
      <c r="EC47">
        <v>2</v>
      </c>
      <c r="ED47">
        <v>2</v>
      </c>
      <c r="EE47">
        <v>0</v>
      </c>
      <c r="EF47" s="45">
        <v>0</v>
      </c>
      <c r="EG47" s="45">
        <v>417.9</v>
      </c>
      <c r="EH47" s="45">
        <v>417.9</v>
      </c>
      <c r="EI47">
        <v>104</v>
      </c>
      <c r="EJ47">
        <v>31</v>
      </c>
      <c r="EK47">
        <v>40</v>
      </c>
      <c r="EL47">
        <v>175</v>
      </c>
      <c r="EM47" s="45">
        <v>101.92</v>
      </c>
      <c r="EN47" s="45">
        <v>63.63</v>
      </c>
      <c r="EO47" s="45">
        <v>763.77</v>
      </c>
      <c r="EP47">
        <v>929.32</v>
      </c>
    </row>
    <row r="48" spans="1:146" ht="9">
      <c r="A48" s="53" t="s">
        <v>62</v>
      </c>
      <c r="B48">
        <v>17</v>
      </c>
      <c r="C48">
        <v>132</v>
      </c>
      <c r="D48">
        <v>26</v>
      </c>
      <c r="E48">
        <v>33</v>
      </c>
      <c r="F48">
        <v>191</v>
      </c>
      <c r="G48" s="45">
        <v>30.71</v>
      </c>
      <c r="H48" s="45">
        <v>6.62</v>
      </c>
      <c r="I48" s="45">
        <v>9.24</v>
      </c>
      <c r="J48" s="45">
        <v>46.57</v>
      </c>
      <c r="K48">
        <v>20</v>
      </c>
      <c r="L48">
        <v>2</v>
      </c>
      <c r="M48">
        <v>14</v>
      </c>
      <c r="N48">
        <v>36</v>
      </c>
      <c r="O48" s="45">
        <v>32.4</v>
      </c>
      <c r="P48" s="45">
        <v>3.8</v>
      </c>
      <c r="Q48" s="45">
        <v>29.8</v>
      </c>
      <c r="R48" s="45">
        <v>66</v>
      </c>
      <c r="S48">
        <v>4</v>
      </c>
      <c r="T48">
        <v>3</v>
      </c>
      <c r="U48">
        <v>13</v>
      </c>
      <c r="V48">
        <v>20</v>
      </c>
      <c r="W48" s="45">
        <v>18.9</v>
      </c>
      <c r="X48" s="45">
        <v>12.4</v>
      </c>
      <c r="Y48" s="45">
        <v>86.7</v>
      </c>
      <c r="Z48" s="45">
        <v>118</v>
      </c>
      <c r="AA48">
        <v>4</v>
      </c>
      <c r="AB48">
        <v>0</v>
      </c>
      <c r="AC48">
        <v>23</v>
      </c>
      <c r="AD48">
        <v>27</v>
      </c>
      <c r="AE48" s="45">
        <v>90</v>
      </c>
      <c r="AF48" s="45">
        <v>0</v>
      </c>
      <c r="AG48" s="45">
        <v>1113.2</v>
      </c>
      <c r="AH48" s="45">
        <v>1203.2</v>
      </c>
      <c r="AI48">
        <v>4</v>
      </c>
      <c r="AJ48">
        <v>0</v>
      </c>
      <c r="AK48">
        <v>6</v>
      </c>
      <c r="AL48">
        <v>10</v>
      </c>
      <c r="AM48" s="45">
        <v>39.4</v>
      </c>
      <c r="AN48" s="45">
        <v>0</v>
      </c>
      <c r="AO48" s="45">
        <v>163.9</v>
      </c>
      <c r="AP48" s="45">
        <v>203.3</v>
      </c>
      <c r="AQ48">
        <v>1</v>
      </c>
      <c r="AR48">
        <v>0</v>
      </c>
      <c r="AS48">
        <v>11</v>
      </c>
      <c r="AT48">
        <v>12</v>
      </c>
      <c r="AU48" s="45">
        <v>21.5</v>
      </c>
      <c r="AV48" s="45">
        <v>0</v>
      </c>
      <c r="AW48" s="45">
        <v>364.3</v>
      </c>
      <c r="AX48" s="45">
        <v>385.8</v>
      </c>
      <c r="AY48">
        <v>5</v>
      </c>
      <c r="AZ48">
        <v>0</v>
      </c>
      <c r="BA48">
        <v>1</v>
      </c>
      <c r="BB48">
        <v>6</v>
      </c>
      <c r="BC48" s="45">
        <v>26.4</v>
      </c>
      <c r="BD48" s="45">
        <v>0</v>
      </c>
      <c r="BE48" s="45">
        <v>10.2</v>
      </c>
      <c r="BF48" s="45">
        <v>36.6</v>
      </c>
      <c r="BG48">
        <v>0</v>
      </c>
      <c r="BH48">
        <v>0</v>
      </c>
      <c r="BI48">
        <v>2</v>
      </c>
      <c r="BJ48">
        <v>2</v>
      </c>
      <c r="BK48" s="45">
        <v>0</v>
      </c>
      <c r="BL48" s="45">
        <v>0</v>
      </c>
      <c r="BM48" s="45">
        <v>154.8</v>
      </c>
      <c r="BN48" s="45">
        <v>154.8</v>
      </c>
      <c r="BO48">
        <v>170</v>
      </c>
      <c r="BP48">
        <v>31</v>
      </c>
      <c r="BQ48">
        <v>103</v>
      </c>
      <c r="BR48">
        <v>304</v>
      </c>
      <c r="BS48" s="45">
        <v>259.31</v>
      </c>
      <c r="BT48" s="45">
        <v>22.82</v>
      </c>
      <c r="BU48" s="45">
        <v>1932.14</v>
      </c>
      <c r="BV48" s="45">
        <v>2214.27</v>
      </c>
      <c r="BW48">
        <v>125</v>
      </c>
      <c r="BX48">
        <v>26</v>
      </c>
      <c r="BY48">
        <v>31</v>
      </c>
      <c r="BZ48">
        <v>182</v>
      </c>
      <c r="CA48" s="45">
        <v>25.38</v>
      </c>
      <c r="CB48" s="45">
        <v>6.56</v>
      </c>
      <c r="CC48" s="45">
        <v>7.53</v>
      </c>
      <c r="CD48" s="45">
        <v>39.47</v>
      </c>
      <c r="CE48">
        <v>13</v>
      </c>
      <c r="CF48">
        <v>1</v>
      </c>
      <c r="CG48">
        <v>10</v>
      </c>
      <c r="CH48">
        <v>24</v>
      </c>
      <c r="CI48" s="45">
        <v>15.4</v>
      </c>
      <c r="CJ48" s="45">
        <v>1.8</v>
      </c>
      <c r="CK48" s="45">
        <v>17.6</v>
      </c>
      <c r="CL48" s="45">
        <v>34.8</v>
      </c>
      <c r="CM48">
        <v>2</v>
      </c>
      <c r="CN48">
        <v>2</v>
      </c>
      <c r="CO48">
        <v>12</v>
      </c>
      <c r="CP48">
        <v>16</v>
      </c>
      <c r="CQ48" s="45">
        <v>10.4</v>
      </c>
      <c r="CR48" s="45">
        <v>7.8</v>
      </c>
      <c r="CS48" s="45">
        <v>76.7</v>
      </c>
      <c r="CT48" s="45">
        <v>94.9</v>
      </c>
      <c r="CU48">
        <v>4</v>
      </c>
      <c r="CV48">
        <v>0</v>
      </c>
      <c r="CW48">
        <v>21</v>
      </c>
      <c r="CX48">
        <v>25</v>
      </c>
      <c r="CY48" s="45">
        <v>82.9</v>
      </c>
      <c r="CZ48" s="45">
        <v>0</v>
      </c>
      <c r="DA48" s="45">
        <v>499.7</v>
      </c>
      <c r="DB48" s="45">
        <v>582.6</v>
      </c>
      <c r="DC48">
        <v>4</v>
      </c>
      <c r="DD48">
        <v>0</v>
      </c>
      <c r="DE48">
        <v>6</v>
      </c>
      <c r="DF48">
        <v>10</v>
      </c>
      <c r="DG48" s="45">
        <v>39.4</v>
      </c>
      <c r="DH48" s="45">
        <v>0</v>
      </c>
      <c r="DI48" s="45">
        <v>126.5</v>
      </c>
      <c r="DJ48" s="45">
        <v>165.9</v>
      </c>
      <c r="DK48">
        <v>1</v>
      </c>
      <c r="DL48">
        <v>0</v>
      </c>
      <c r="DM48">
        <v>9</v>
      </c>
      <c r="DN48">
        <v>10</v>
      </c>
      <c r="DO48" s="45">
        <v>2.3</v>
      </c>
      <c r="DP48" s="45">
        <v>0</v>
      </c>
      <c r="DQ48" s="45">
        <v>172.2</v>
      </c>
      <c r="DR48" s="45">
        <v>174.5</v>
      </c>
      <c r="DS48">
        <v>5</v>
      </c>
      <c r="DT48">
        <v>0</v>
      </c>
      <c r="DU48">
        <v>1</v>
      </c>
      <c r="DV48">
        <v>6</v>
      </c>
      <c r="DW48" s="45">
        <v>18.6</v>
      </c>
      <c r="DX48" s="45">
        <v>0</v>
      </c>
      <c r="DY48" s="45">
        <v>8.6</v>
      </c>
      <c r="DZ48" s="45">
        <v>27.2</v>
      </c>
      <c r="EA48">
        <v>0</v>
      </c>
      <c r="EB48">
        <v>0</v>
      </c>
      <c r="EC48">
        <v>2</v>
      </c>
      <c r="ED48">
        <v>2</v>
      </c>
      <c r="EE48">
        <v>0</v>
      </c>
      <c r="EF48" s="45">
        <v>0</v>
      </c>
      <c r="EG48" s="45">
        <v>97.8</v>
      </c>
      <c r="EH48" s="45">
        <v>97.8</v>
      </c>
      <c r="EI48">
        <v>154</v>
      </c>
      <c r="EJ48">
        <v>29</v>
      </c>
      <c r="EK48">
        <v>92</v>
      </c>
      <c r="EL48">
        <v>275</v>
      </c>
      <c r="EM48" s="45">
        <v>194.38</v>
      </c>
      <c r="EN48" s="45">
        <v>16.16</v>
      </c>
      <c r="EO48" s="45">
        <v>1006.63</v>
      </c>
      <c r="EP48">
        <v>1217.17</v>
      </c>
    </row>
    <row r="49" spans="1:146" ht="9">
      <c r="A49" s="53" t="s">
        <v>63</v>
      </c>
      <c r="B49">
        <v>17</v>
      </c>
      <c r="C49">
        <v>124</v>
      </c>
      <c r="D49">
        <v>24</v>
      </c>
      <c r="E49">
        <v>44</v>
      </c>
      <c r="F49">
        <v>192</v>
      </c>
      <c r="G49" s="45">
        <v>26.26</v>
      </c>
      <c r="H49" s="45">
        <v>4.61</v>
      </c>
      <c r="I49" s="45">
        <v>8.72</v>
      </c>
      <c r="J49" s="45">
        <v>39.59</v>
      </c>
      <c r="K49">
        <v>18</v>
      </c>
      <c r="L49">
        <v>10</v>
      </c>
      <c r="M49">
        <v>9</v>
      </c>
      <c r="N49">
        <v>37</v>
      </c>
      <c r="O49" s="45">
        <v>32</v>
      </c>
      <c r="P49" s="45">
        <v>20.7</v>
      </c>
      <c r="Q49" s="45">
        <v>14.8</v>
      </c>
      <c r="R49" s="45">
        <v>67.5</v>
      </c>
      <c r="S49">
        <v>1</v>
      </c>
      <c r="T49">
        <v>1</v>
      </c>
      <c r="U49">
        <v>6</v>
      </c>
      <c r="V49">
        <v>8</v>
      </c>
      <c r="W49" s="45">
        <v>4.4</v>
      </c>
      <c r="X49" s="45">
        <v>4.9</v>
      </c>
      <c r="Y49" s="45">
        <v>36.2</v>
      </c>
      <c r="Z49" s="45">
        <v>45.5</v>
      </c>
      <c r="AA49">
        <v>0</v>
      </c>
      <c r="AB49">
        <v>1</v>
      </c>
      <c r="AC49">
        <v>6</v>
      </c>
      <c r="AD49">
        <v>7</v>
      </c>
      <c r="AE49" s="45">
        <v>0</v>
      </c>
      <c r="AF49" s="45">
        <v>38.7</v>
      </c>
      <c r="AG49" s="45">
        <v>232</v>
      </c>
      <c r="AH49" s="45">
        <v>270.7</v>
      </c>
      <c r="AI49">
        <v>0</v>
      </c>
      <c r="AJ49">
        <v>0</v>
      </c>
      <c r="AK49">
        <v>4</v>
      </c>
      <c r="AL49">
        <v>4</v>
      </c>
      <c r="AM49" s="45">
        <v>0</v>
      </c>
      <c r="AN49" s="45">
        <v>0</v>
      </c>
      <c r="AO49" s="45">
        <v>103.3</v>
      </c>
      <c r="AP49" s="45">
        <v>103.3</v>
      </c>
      <c r="AQ49">
        <v>3</v>
      </c>
      <c r="AR49">
        <v>1</v>
      </c>
      <c r="AS49">
        <v>3</v>
      </c>
      <c r="AT49">
        <v>7</v>
      </c>
      <c r="AU49" s="45">
        <v>29.6</v>
      </c>
      <c r="AV49" s="45">
        <v>10</v>
      </c>
      <c r="AW49" s="45">
        <v>21.7</v>
      </c>
      <c r="AX49" s="45">
        <v>61.3</v>
      </c>
      <c r="AY49">
        <v>1</v>
      </c>
      <c r="AZ49">
        <v>0</v>
      </c>
      <c r="BA49">
        <v>0</v>
      </c>
      <c r="BB49">
        <v>1</v>
      </c>
      <c r="BC49" s="45">
        <v>10.5</v>
      </c>
      <c r="BD49" s="45">
        <v>0</v>
      </c>
      <c r="BE49" s="45">
        <v>0</v>
      </c>
      <c r="BF49" s="45">
        <v>10.5</v>
      </c>
      <c r="BG49">
        <v>0</v>
      </c>
      <c r="BH49">
        <v>0</v>
      </c>
      <c r="BI49">
        <v>5</v>
      </c>
      <c r="BJ49">
        <v>5</v>
      </c>
      <c r="BK49" s="45">
        <v>0</v>
      </c>
      <c r="BL49" s="45">
        <v>0</v>
      </c>
      <c r="BM49" s="45">
        <v>656.4</v>
      </c>
      <c r="BN49" s="45">
        <v>656.4</v>
      </c>
      <c r="BO49">
        <v>147</v>
      </c>
      <c r="BP49">
        <v>37</v>
      </c>
      <c r="BQ49">
        <v>77</v>
      </c>
      <c r="BR49">
        <v>261</v>
      </c>
      <c r="BS49" s="45">
        <v>102.76</v>
      </c>
      <c r="BT49" s="45">
        <v>78.91</v>
      </c>
      <c r="BU49" s="45">
        <v>1073.12</v>
      </c>
      <c r="BV49" s="45">
        <v>1254.79</v>
      </c>
      <c r="BW49">
        <v>122</v>
      </c>
      <c r="BX49">
        <v>23</v>
      </c>
      <c r="BY49">
        <v>43</v>
      </c>
      <c r="BZ49">
        <v>188</v>
      </c>
      <c r="CA49" s="45">
        <v>24.52</v>
      </c>
      <c r="CB49" s="45">
        <v>4.55</v>
      </c>
      <c r="CC49" s="45">
        <v>8.65</v>
      </c>
      <c r="CD49" s="45">
        <v>37.72</v>
      </c>
      <c r="CE49">
        <v>15</v>
      </c>
      <c r="CF49">
        <v>9</v>
      </c>
      <c r="CG49">
        <v>6</v>
      </c>
      <c r="CH49">
        <v>30</v>
      </c>
      <c r="CI49" s="45">
        <v>18</v>
      </c>
      <c r="CJ49" s="45">
        <v>16.5</v>
      </c>
      <c r="CK49" s="45">
        <v>10.4</v>
      </c>
      <c r="CL49" s="45">
        <v>44.9</v>
      </c>
      <c r="CM49">
        <v>1</v>
      </c>
      <c r="CN49">
        <v>1</v>
      </c>
      <c r="CO49">
        <v>4</v>
      </c>
      <c r="CP49">
        <v>6</v>
      </c>
      <c r="CQ49" s="45">
        <v>4.4</v>
      </c>
      <c r="CR49" s="45">
        <v>4</v>
      </c>
      <c r="CS49" s="45">
        <v>21</v>
      </c>
      <c r="CT49" s="45">
        <v>29.4</v>
      </c>
      <c r="CU49">
        <v>0</v>
      </c>
      <c r="CV49">
        <v>1</v>
      </c>
      <c r="CW49">
        <v>5</v>
      </c>
      <c r="CX49">
        <v>6</v>
      </c>
      <c r="CY49" s="45">
        <v>0</v>
      </c>
      <c r="CZ49" s="45">
        <v>31.7</v>
      </c>
      <c r="DA49" s="45">
        <v>135.2</v>
      </c>
      <c r="DB49" s="45">
        <v>166.9</v>
      </c>
      <c r="DC49">
        <v>0</v>
      </c>
      <c r="DD49">
        <v>0</v>
      </c>
      <c r="DE49">
        <v>4</v>
      </c>
      <c r="DF49">
        <v>4</v>
      </c>
      <c r="DG49" s="45">
        <v>0</v>
      </c>
      <c r="DH49" s="45">
        <v>0</v>
      </c>
      <c r="DI49" s="45">
        <v>75.3</v>
      </c>
      <c r="DJ49" s="45">
        <v>75.3</v>
      </c>
      <c r="DK49">
        <v>3</v>
      </c>
      <c r="DL49">
        <v>1</v>
      </c>
      <c r="DM49">
        <v>2</v>
      </c>
      <c r="DN49">
        <v>6</v>
      </c>
      <c r="DO49" s="45">
        <v>26.4</v>
      </c>
      <c r="DP49" s="45">
        <v>10</v>
      </c>
      <c r="DQ49" s="45">
        <v>21.3</v>
      </c>
      <c r="DR49" s="45">
        <v>57.7</v>
      </c>
      <c r="DS49">
        <v>1</v>
      </c>
      <c r="DT49">
        <v>0</v>
      </c>
      <c r="DU49">
        <v>0</v>
      </c>
      <c r="DV49">
        <v>1</v>
      </c>
      <c r="DW49" s="45">
        <v>10.3</v>
      </c>
      <c r="DX49" s="45">
        <v>0</v>
      </c>
      <c r="DY49" s="45">
        <v>0</v>
      </c>
      <c r="DZ49" s="45">
        <v>10.3</v>
      </c>
      <c r="EA49">
        <v>0</v>
      </c>
      <c r="EB49">
        <v>0</v>
      </c>
      <c r="EC49">
        <v>5</v>
      </c>
      <c r="ED49">
        <v>5</v>
      </c>
      <c r="EE49">
        <v>0</v>
      </c>
      <c r="EF49" s="45">
        <v>0</v>
      </c>
      <c r="EG49" s="45">
        <v>165.6</v>
      </c>
      <c r="EH49" s="45">
        <v>165.6</v>
      </c>
      <c r="EI49">
        <v>142</v>
      </c>
      <c r="EJ49">
        <v>35</v>
      </c>
      <c r="EK49">
        <v>69</v>
      </c>
      <c r="EL49">
        <v>246</v>
      </c>
      <c r="EM49" s="45">
        <v>83.62</v>
      </c>
      <c r="EN49" s="45">
        <v>66.75</v>
      </c>
      <c r="EO49" s="45">
        <v>437.45</v>
      </c>
      <c r="EP49">
        <v>587.82</v>
      </c>
    </row>
    <row r="50" spans="1:146" ht="9">
      <c r="A50" s="50" t="s">
        <v>102</v>
      </c>
      <c r="B50" s="54">
        <v>60</v>
      </c>
      <c r="C50" s="54">
        <v>390</v>
      </c>
      <c r="D50" s="54">
        <v>96</v>
      </c>
      <c r="E50" s="54">
        <v>96</v>
      </c>
      <c r="F50" s="54">
        <v>582</v>
      </c>
      <c r="G50" s="55">
        <v>86.8</v>
      </c>
      <c r="H50" s="55">
        <v>21.57</v>
      </c>
      <c r="I50" s="55">
        <v>22.49</v>
      </c>
      <c r="J50" s="55">
        <v>130.86</v>
      </c>
      <c r="K50" s="54">
        <v>51</v>
      </c>
      <c r="L50" s="54">
        <v>19</v>
      </c>
      <c r="M50" s="54">
        <v>36</v>
      </c>
      <c r="N50" s="54">
        <v>106</v>
      </c>
      <c r="O50" s="55">
        <v>81.8</v>
      </c>
      <c r="P50" s="55">
        <v>37</v>
      </c>
      <c r="Q50" s="55">
        <v>74.3</v>
      </c>
      <c r="R50" s="55">
        <v>193.1</v>
      </c>
      <c r="S50" s="54">
        <v>8</v>
      </c>
      <c r="T50" s="54">
        <v>6</v>
      </c>
      <c r="U50" s="54">
        <v>31</v>
      </c>
      <c r="V50" s="54">
        <v>45</v>
      </c>
      <c r="W50" s="55">
        <v>37.3</v>
      </c>
      <c r="X50" s="55">
        <v>27.2</v>
      </c>
      <c r="Y50" s="55">
        <v>189.5</v>
      </c>
      <c r="Z50" s="55">
        <v>254</v>
      </c>
      <c r="AA50" s="54">
        <v>5</v>
      </c>
      <c r="AB50" s="54">
        <v>3</v>
      </c>
      <c r="AC50" s="54">
        <v>40</v>
      </c>
      <c r="AD50" s="54">
        <v>48</v>
      </c>
      <c r="AE50" s="55">
        <v>113.5</v>
      </c>
      <c r="AF50" s="55">
        <v>68</v>
      </c>
      <c r="AG50" s="55">
        <v>1556</v>
      </c>
      <c r="AH50" s="55">
        <v>1737.5</v>
      </c>
      <c r="AI50" s="54">
        <v>7</v>
      </c>
      <c r="AJ50" s="54">
        <v>1</v>
      </c>
      <c r="AK50" s="54">
        <v>16</v>
      </c>
      <c r="AL50" s="54">
        <v>24</v>
      </c>
      <c r="AM50" s="55">
        <v>88.3</v>
      </c>
      <c r="AN50" s="55">
        <v>37.8</v>
      </c>
      <c r="AO50" s="55">
        <v>389.6</v>
      </c>
      <c r="AP50" s="55">
        <v>515.7</v>
      </c>
      <c r="AQ50" s="54">
        <v>5</v>
      </c>
      <c r="AR50" s="54">
        <v>3</v>
      </c>
      <c r="AS50" s="54">
        <v>19</v>
      </c>
      <c r="AT50" s="54">
        <v>27</v>
      </c>
      <c r="AU50" s="55">
        <v>89.8</v>
      </c>
      <c r="AV50" s="55">
        <v>26.3</v>
      </c>
      <c r="AW50" s="55">
        <v>526.8</v>
      </c>
      <c r="AX50" s="55">
        <v>642.9</v>
      </c>
      <c r="AY50" s="54">
        <v>9</v>
      </c>
      <c r="AZ50" s="54">
        <v>0</v>
      </c>
      <c r="BA50" s="54">
        <v>4</v>
      </c>
      <c r="BB50" s="54">
        <v>13</v>
      </c>
      <c r="BC50" s="55">
        <v>68.12</v>
      </c>
      <c r="BD50" s="55">
        <v>0</v>
      </c>
      <c r="BE50" s="55">
        <v>189.7</v>
      </c>
      <c r="BF50" s="55">
        <v>257.82</v>
      </c>
      <c r="BG50" s="54">
        <v>0</v>
      </c>
      <c r="BH50" s="54">
        <v>0</v>
      </c>
      <c r="BI50" s="54">
        <v>11</v>
      </c>
      <c r="BJ50" s="54">
        <v>11</v>
      </c>
      <c r="BK50" s="55">
        <v>0</v>
      </c>
      <c r="BL50" s="55">
        <v>0</v>
      </c>
      <c r="BM50" s="55">
        <v>1413.7</v>
      </c>
      <c r="BN50" s="55">
        <v>1413.7</v>
      </c>
      <c r="BO50" s="54">
        <v>475</v>
      </c>
      <c r="BP50" s="54">
        <v>128</v>
      </c>
      <c r="BQ50" s="54">
        <v>253</v>
      </c>
      <c r="BR50" s="54">
        <v>856</v>
      </c>
      <c r="BS50" s="55">
        <v>565.62</v>
      </c>
      <c r="BT50" s="55">
        <v>217.87</v>
      </c>
      <c r="BU50" s="55">
        <v>4362.09</v>
      </c>
      <c r="BV50" s="55">
        <v>5145.58</v>
      </c>
      <c r="BW50" s="54">
        <v>378</v>
      </c>
      <c r="BX50" s="54">
        <v>94</v>
      </c>
      <c r="BY50" s="54">
        <v>92</v>
      </c>
      <c r="BZ50" s="54">
        <v>564</v>
      </c>
      <c r="CA50" s="55">
        <v>77.95</v>
      </c>
      <c r="CB50" s="55">
        <v>21.04</v>
      </c>
      <c r="CC50" s="55">
        <v>20.3</v>
      </c>
      <c r="CD50" s="55">
        <v>119.29</v>
      </c>
      <c r="CE50" s="54">
        <v>40</v>
      </c>
      <c r="CF50" s="54">
        <v>17</v>
      </c>
      <c r="CG50" s="54">
        <v>28</v>
      </c>
      <c r="CH50" s="54">
        <v>85</v>
      </c>
      <c r="CI50" s="55">
        <v>49.5</v>
      </c>
      <c r="CJ50" s="55">
        <v>30.4</v>
      </c>
      <c r="CK50" s="55">
        <v>54.9</v>
      </c>
      <c r="CL50" s="55">
        <v>134.8</v>
      </c>
      <c r="CM50" s="54">
        <v>6</v>
      </c>
      <c r="CN50" s="54">
        <v>5</v>
      </c>
      <c r="CO50" s="54">
        <v>28</v>
      </c>
      <c r="CP50" s="54">
        <v>39</v>
      </c>
      <c r="CQ50" s="55">
        <v>28.2</v>
      </c>
      <c r="CR50" s="55">
        <v>20.1</v>
      </c>
      <c r="CS50" s="55">
        <v>161.7</v>
      </c>
      <c r="CT50" s="55">
        <v>210</v>
      </c>
      <c r="CU50" s="54">
        <v>5</v>
      </c>
      <c r="CV50" s="54">
        <v>3</v>
      </c>
      <c r="CW50" s="54">
        <v>37</v>
      </c>
      <c r="CX50" s="54">
        <v>45</v>
      </c>
      <c r="CY50" s="55">
        <v>102.9</v>
      </c>
      <c r="CZ50" s="55">
        <v>59.5</v>
      </c>
      <c r="DA50" s="55">
        <v>770.4</v>
      </c>
      <c r="DB50" s="55">
        <v>932.8</v>
      </c>
      <c r="DC50" s="54">
        <v>6</v>
      </c>
      <c r="DD50" s="54">
        <v>1</v>
      </c>
      <c r="DE50" s="54">
        <v>15</v>
      </c>
      <c r="DF50" s="54">
        <v>22</v>
      </c>
      <c r="DG50" s="55">
        <v>74.1</v>
      </c>
      <c r="DH50" s="55">
        <v>31.4</v>
      </c>
      <c r="DI50" s="55">
        <v>285.5</v>
      </c>
      <c r="DJ50" s="55">
        <v>391</v>
      </c>
      <c r="DK50" s="54">
        <v>5</v>
      </c>
      <c r="DL50" s="54">
        <v>3</v>
      </c>
      <c r="DM50" s="54">
        <v>16</v>
      </c>
      <c r="DN50" s="54">
        <v>24</v>
      </c>
      <c r="DO50" s="55">
        <v>67.3</v>
      </c>
      <c r="DP50" s="55">
        <v>23.5</v>
      </c>
      <c r="DQ50" s="55">
        <v>270.3</v>
      </c>
      <c r="DR50" s="55">
        <v>361.1</v>
      </c>
      <c r="DS50" s="54">
        <v>8</v>
      </c>
      <c r="DT50" s="54">
        <v>0</v>
      </c>
      <c r="DU50" s="54">
        <v>4</v>
      </c>
      <c r="DV50" s="54">
        <v>12</v>
      </c>
      <c r="DW50" s="55">
        <v>57.4</v>
      </c>
      <c r="DX50" s="55">
        <v>0</v>
      </c>
      <c r="DY50" s="55">
        <v>162.1</v>
      </c>
      <c r="DZ50" s="55">
        <v>219.5</v>
      </c>
      <c r="EA50" s="54">
        <v>0</v>
      </c>
      <c r="EB50" s="54">
        <v>0</v>
      </c>
      <c r="EC50" s="54">
        <v>11</v>
      </c>
      <c r="ED50" s="54">
        <v>11</v>
      </c>
      <c r="EE50" s="54">
        <v>0</v>
      </c>
      <c r="EF50" s="55">
        <v>0</v>
      </c>
      <c r="EG50" s="55">
        <v>747.1</v>
      </c>
      <c r="EH50" s="55">
        <v>747.1</v>
      </c>
      <c r="EI50" s="54">
        <v>448</v>
      </c>
      <c r="EJ50" s="54">
        <v>123</v>
      </c>
      <c r="EK50" s="54">
        <v>231</v>
      </c>
      <c r="EL50" s="54">
        <v>802</v>
      </c>
      <c r="EM50" s="55">
        <v>457.35</v>
      </c>
      <c r="EN50" s="55">
        <v>185.94</v>
      </c>
      <c r="EO50" s="55">
        <v>2472.3</v>
      </c>
      <c r="EP50" s="54">
        <v>3115.59</v>
      </c>
    </row>
    <row r="51" spans="1:146" ht="9">
      <c r="A51" s="68" t="s">
        <v>64</v>
      </c>
      <c r="B51">
        <v>44</v>
      </c>
      <c r="C51" s="69">
        <v>1442</v>
      </c>
      <c r="D51">
        <v>277</v>
      </c>
      <c r="E51">
        <v>81</v>
      </c>
      <c r="F51">
        <v>1800</v>
      </c>
      <c r="G51" s="45">
        <v>314.19</v>
      </c>
      <c r="H51" s="45">
        <v>66.47</v>
      </c>
      <c r="I51" s="45">
        <v>28.24</v>
      </c>
      <c r="J51" s="45">
        <v>408.9</v>
      </c>
      <c r="K51">
        <v>153</v>
      </c>
      <c r="L51">
        <v>60</v>
      </c>
      <c r="M51">
        <v>24</v>
      </c>
      <c r="N51">
        <v>237</v>
      </c>
      <c r="O51" s="45">
        <v>290.7</v>
      </c>
      <c r="P51" s="45">
        <v>122</v>
      </c>
      <c r="Q51" s="45">
        <v>51.4</v>
      </c>
      <c r="R51" s="45">
        <v>464.1</v>
      </c>
      <c r="S51">
        <v>12</v>
      </c>
      <c r="T51">
        <v>10</v>
      </c>
      <c r="U51">
        <v>10</v>
      </c>
      <c r="V51">
        <v>32</v>
      </c>
      <c r="W51" s="45">
        <v>61.8</v>
      </c>
      <c r="X51" s="45">
        <v>55</v>
      </c>
      <c r="Y51" s="45">
        <v>56.7</v>
      </c>
      <c r="Z51" s="45">
        <v>173.5</v>
      </c>
      <c r="AA51">
        <v>19</v>
      </c>
      <c r="AB51">
        <v>9</v>
      </c>
      <c r="AC51">
        <v>14</v>
      </c>
      <c r="AD51">
        <v>42</v>
      </c>
      <c r="AE51" s="45">
        <v>460.9</v>
      </c>
      <c r="AF51" s="45">
        <v>160.9</v>
      </c>
      <c r="AG51" s="45">
        <v>452.1</v>
      </c>
      <c r="AH51" s="45">
        <v>1073.9</v>
      </c>
      <c r="AI51">
        <v>5</v>
      </c>
      <c r="AJ51">
        <v>5</v>
      </c>
      <c r="AK51">
        <v>6</v>
      </c>
      <c r="AL51">
        <v>16</v>
      </c>
      <c r="AM51" s="45">
        <v>87.6</v>
      </c>
      <c r="AN51" s="45">
        <v>100.8</v>
      </c>
      <c r="AO51" s="45">
        <v>123.6</v>
      </c>
      <c r="AP51" s="45">
        <v>312</v>
      </c>
      <c r="AQ51">
        <v>7</v>
      </c>
      <c r="AR51">
        <v>2</v>
      </c>
      <c r="AS51">
        <v>12</v>
      </c>
      <c r="AT51">
        <v>21</v>
      </c>
      <c r="AU51" s="45">
        <v>197.7</v>
      </c>
      <c r="AV51" s="45">
        <v>35.5</v>
      </c>
      <c r="AW51" s="45">
        <v>378.5</v>
      </c>
      <c r="AX51" s="45">
        <v>611.7</v>
      </c>
      <c r="AY51">
        <v>4</v>
      </c>
      <c r="AZ51">
        <v>0</v>
      </c>
      <c r="BA51">
        <v>5</v>
      </c>
      <c r="BB51">
        <v>9</v>
      </c>
      <c r="BC51" s="45">
        <v>25.7</v>
      </c>
      <c r="BD51" s="45">
        <v>0</v>
      </c>
      <c r="BE51" s="45">
        <v>25.7</v>
      </c>
      <c r="BF51" s="45">
        <v>51.4</v>
      </c>
      <c r="BG51">
        <v>0</v>
      </c>
      <c r="BH51">
        <v>1</v>
      </c>
      <c r="BI51">
        <v>6</v>
      </c>
      <c r="BJ51">
        <v>7</v>
      </c>
      <c r="BK51" s="45">
        <v>0</v>
      </c>
      <c r="BL51" s="45">
        <v>2.5</v>
      </c>
      <c r="BM51" s="45">
        <v>1103</v>
      </c>
      <c r="BN51" s="45">
        <v>1105.5</v>
      </c>
      <c r="BO51">
        <v>1642</v>
      </c>
      <c r="BP51">
        <v>364</v>
      </c>
      <c r="BQ51">
        <v>158</v>
      </c>
      <c r="BR51">
        <v>2164</v>
      </c>
      <c r="BS51" s="45">
        <v>1438.59</v>
      </c>
      <c r="BT51" s="45">
        <v>543.17</v>
      </c>
      <c r="BU51" s="45">
        <v>2219.24</v>
      </c>
      <c r="BV51" s="45">
        <v>4201</v>
      </c>
      <c r="BW51">
        <v>1398</v>
      </c>
      <c r="BX51">
        <v>270</v>
      </c>
      <c r="BY51">
        <v>76</v>
      </c>
      <c r="BZ51">
        <v>1744</v>
      </c>
      <c r="CA51" s="45">
        <v>291.99</v>
      </c>
      <c r="CB51" s="45">
        <v>64.68</v>
      </c>
      <c r="CC51" s="45">
        <v>27.12</v>
      </c>
      <c r="CD51" s="45">
        <v>383.79</v>
      </c>
      <c r="CE51">
        <v>145</v>
      </c>
      <c r="CF51">
        <v>52</v>
      </c>
      <c r="CG51">
        <v>23</v>
      </c>
      <c r="CH51">
        <v>220</v>
      </c>
      <c r="CI51" s="45">
        <v>256.9</v>
      </c>
      <c r="CJ51" s="45">
        <v>99.9</v>
      </c>
      <c r="CK51" s="45">
        <v>50.3</v>
      </c>
      <c r="CL51" s="45">
        <v>407.1</v>
      </c>
      <c r="CM51">
        <v>12</v>
      </c>
      <c r="CN51">
        <v>10</v>
      </c>
      <c r="CO51">
        <v>9</v>
      </c>
      <c r="CP51">
        <v>31</v>
      </c>
      <c r="CQ51" s="45">
        <v>55.6</v>
      </c>
      <c r="CR51" s="45">
        <v>46.8</v>
      </c>
      <c r="CS51" s="45">
        <v>45.1</v>
      </c>
      <c r="CT51" s="45">
        <v>147.5</v>
      </c>
      <c r="CU51">
        <v>18</v>
      </c>
      <c r="CV51">
        <v>8</v>
      </c>
      <c r="CW51">
        <v>14</v>
      </c>
      <c r="CX51">
        <v>40</v>
      </c>
      <c r="CY51" s="45">
        <v>387</v>
      </c>
      <c r="CZ51" s="45">
        <v>134.8</v>
      </c>
      <c r="DA51" s="45">
        <v>378.6</v>
      </c>
      <c r="DB51" s="45">
        <v>900.4</v>
      </c>
      <c r="DC51">
        <v>5</v>
      </c>
      <c r="DD51">
        <v>5</v>
      </c>
      <c r="DE51">
        <v>4</v>
      </c>
      <c r="DF51">
        <v>14</v>
      </c>
      <c r="DG51" s="45">
        <v>71.6</v>
      </c>
      <c r="DH51" s="45">
        <v>97.1</v>
      </c>
      <c r="DI51" s="45">
        <v>67.8</v>
      </c>
      <c r="DJ51" s="45">
        <v>236.5</v>
      </c>
      <c r="DK51">
        <v>7</v>
      </c>
      <c r="DL51">
        <v>2</v>
      </c>
      <c r="DM51">
        <v>12</v>
      </c>
      <c r="DN51">
        <v>21</v>
      </c>
      <c r="DO51" s="45">
        <v>101.7</v>
      </c>
      <c r="DP51" s="45">
        <v>21.8</v>
      </c>
      <c r="DQ51" s="45">
        <v>258.4</v>
      </c>
      <c r="DR51" s="45">
        <v>381.9</v>
      </c>
      <c r="DS51">
        <v>2</v>
      </c>
      <c r="DT51">
        <v>0</v>
      </c>
      <c r="DU51">
        <v>4</v>
      </c>
      <c r="DV51">
        <v>6</v>
      </c>
      <c r="DW51" s="45">
        <v>3.3</v>
      </c>
      <c r="DX51" s="45">
        <v>0</v>
      </c>
      <c r="DY51" s="45">
        <v>21.5</v>
      </c>
      <c r="DZ51" s="45">
        <v>24.8</v>
      </c>
      <c r="EA51">
        <v>0</v>
      </c>
      <c r="EB51">
        <v>1</v>
      </c>
      <c r="EC51">
        <v>6</v>
      </c>
      <c r="ED51">
        <v>7</v>
      </c>
      <c r="EE51">
        <v>0</v>
      </c>
      <c r="EF51" s="45">
        <v>2.5</v>
      </c>
      <c r="EG51" s="45">
        <v>511.4</v>
      </c>
      <c r="EH51" s="45">
        <v>513.9</v>
      </c>
      <c r="EI51">
        <v>1587</v>
      </c>
      <c r="EJ51">
        <v>348</v>
      </c>
      <c r="EK51">
        <v>148</v>
      </c>
      <c r="EL51">
        <v>2083</v>
      </c>
      <c r="EM51" s="45">
        <v>1168.09</v>
      </c>
      <c r="EN51" s="45">
        <v>467.58</v>
      </c>
      <c r="EO51" s="45">
        <v>1360.22</v>
      </c>
      <c r="EP51">
        <v>2995.89</v>
      </c>
    </row>
    <row r="52" spans="1:146" ht="9">
      <c r="A52" s="68" t="s">
        <v>65</v>
      </c>
      <c r="B52">
        <v>16</v>
      </c>
      <c r="C52">
        <v>62</v>
      </c>
      <c r="D52">
        <v>35</v>
      </c>
      <c r="E52">
        <v>4</v>
      </c>
      <c r="F52">
        <v>101</v>
      </c>
      <c r="G52" s="45">
        <v>13.88</v>
      </c>
      <c r="H52" s="45">
        <v>8.77</v>
      </c>
      <c r="I52" s="45">
        <v>1.46</v>
      </c>
      <c r="J52" s="45">
        <v>24.11</v>
      </c>
      <c r="K52">
        <v>7</v>
      </c>
      <c r="L52">
        <v>11</v>
      </c>
      <c r="M52">
        <v>9</v>
      </c>
      <c r="N52">
        <v>27</v>
      </c>
      <c r="O52" s="45">
        <v>12.3</v>
      </c>
      <c r="P52" s="45">
        <v>22.2</v>
      </c>
      <c r="Q52" s="45">
        <v>23.9</v>
      </c>
      <c r="R52" s="45">
        <v>58.4</v>
      </c>
      <c r="S52">
        <v>2</v>
      </c>
      <c r="T52">
        <v>2</v>
      </c>
      <c r="U52">
        <v>12</v>
      </c>
      <c r="V52">
        <v>16</v>
      </c>
      <c r="W52" s="45">
        <v>7.7</v>
      </c>
      <c r="X52" s="45">
        <v>13.8</v>
      </c>
      <c r="Y52" s="45">
        <v>72.7</v>
      </c>
      <c r="Z52" s="45">
        <v>94.2</v>
      </c>
      <c r="AA52">
        <v>3</v>
      </c>
      <c r="AB52">
        <v>3</v>
      </c>
      <c r="AC52">
        <v>5</v>
      </c>
      <c r="AD52">
        <v>11</v>
      </c>
      <c r="AE52" s="45">
        <v>69.8</v>
      </c>
      <c r="AF52" s="45">
        <v>59.7</v>
      </c>
      <c r="AG52" s="45">
        <v>202.3</v>
      </c>
      <c r="AH52" s="45">
        <v>331.8</v>
      </c>
      <c r="AI52">
        <v>1</v>
      </c>
      <c r="AJ52">
        <v>3</v>
      </c>
      <c r="AK52">
        <v>1</v>
      </c>
      <c r="AL52">
        <v>5</v>
      </c>
      <c r="AM52" s="45">
        <v>13.4</v>
      </c>
      <c r="AN52" s="45">
        <v>60</v>
      </c>
      <c r="AO52" s="45">
        <v>42.4</v>
      </c>
      <c r="AP52" s="45">
        <v>115.8</v>
      </c>
      <c r="AQ52">
        <v>2</v>
      </c>
      <c r="AR52">
        <v>0</v>
      </c>
      <c r="AS52">
        <v>4</v>
      </c>
      <c r="AT52">
        <v>6</v>
      </c>
      <c r="AU52" s="45">
        <v>26.4</v>
      </c>
      <c r="AV52" s="45">
        <v>0</v>
      </c>
      <c r="AW52" s="45">
        <v>69</v>
      </c>
      <c r="AX52" s="45">
        <v>95.4</v>
      </c>
      <c r="AY52">
        <v>1</v>
      </c>
      <c r="AZ52">
        <v>0</v>
      </c>
      <c r="BA52">
        <v>0</v>
      </c>
      <c r="BB52">
        <v>1</v>
      </c>
      <c r="BC52" s="45">
        <v>0.4</v>
      </c>
      <c r="BD52" s="45">
        <v>0</v>
      </c>
      <c r="BE52" s="45">
        <v>0</v>
      </c>
      <c r="BF52" s="45">
        <v>0.4</v>
      </c>
      <c r="BG52">
        <v>0</v>
      </c>
      <c r="BH52">
        <v>0</v>
      </c>
      <c r="BI52">
        <v>2</v>
      </c>
      <c r="BJ52">
        <v>2</v>
      </c>
      <c r="BK52" s="45">
        <v>0</v>
      </c>
      <c r="BL52" s="45">
        <v>0</v>
      </c>
      <c r="BM52" s="45">
        <v>169.7</v>
      </c>
      <c r="BN52" s="45">
        <v>169.7</v>
      </c>
      <c r="BO52">
        <v>78</v>
      </c>
      <c r="BP52">
        <v>54</v>
      </c>
      <c r="BQ52">
        <v>37</v>
      </c>
      <c r="BR52">
        <v>169</v>
      </c>
      <c r="BS52" s="45">
        <v>143.88</v>
      </c>
      <c r="BT52" s="45">
        <v>164.47</v>
      </c>
      <c r="BU52" s="45">
        <v>581.46</v>
      </c>
      <c r="BV52" s="45">
        <v>889.81</v>
      </c>
      <c r="BW52">
        <v>60</v>
      </c>
      <c r="BX52">
        <v>34</v>
      </c>
      <c r="BY52">
        <v>4</v>
      </c>
      <c r="BZ52">
        <v>98</v>
      </c>
      <c r="CA52" s="45">
        <v>13.05</v>
      </c>
      <c r="CB52" s="45">
        <v>8.7</v>
      </c>
      <c r="CC52" s="45">
        <v>1.46</v>
      </c>
      <c r="CD52" s="45">
        <v>23.21</v>
      </c>
      <c r="CE52">
        <v>7</v>
      </c>
      <c r="CF52">
        <v>10</v>
      </c>
      <c r="CG52">
        <v>9</v>
      </c>
      <c r="CH52">
        <v>26</v>
      </c>
      <c r="CI52" s="45">
        <v>9.6</v>
      </c>
      <c r="CJ52" s="45">
        <v>18.7</v>
      </c>
      <c r="CK52" s="45">
        <v>21.5</v>
      </c>
      <c r="CL52" s="45">
        <v>49.8</v>
      </c>
      <c r="CM52">
        <v>2</v>
      </c>
      <c r="CN52">
        <v>2</v>
      </c>
      <c r="CO52">
        <v>12</v>
      </c>
      <c r="CP52">
        <v>16</v>
      </c>
      <c r="CQ52" s="45">
        <v>7.5</v>
      </c>
      <c r="CR52" s="45">
        <v>13.8</v>
      </c>
      <c r="CS52" s="45">
        <v>71.8</v>
      </c>
      <c r="CT52" s="45">
        <v>93.1</v>
      </c>
      <c r="CU52">
        <v>3</v>
      </c>
      <c r="CV52">
        <v>3</v>
      </c>
      <c r="CW52">
        <v>5</v>
      </c>
      <c r="CX52">
        <v>11</v>
      </c>
      <c r="CY52" s="45">
        <v>65.2</v>
      </c>
      <c r="CZ52" s="45">
        <v>41.9</v>
      </c>
      <c r="DA52" s="45">
        <v>128.5</v>
      </c>
      <c r="DB52" s="45">
        <v>235.6</v>
      </c>
      <c r="DC52">
        <v>1</v>
      </c>
      <c r="DD52">
        <v>3</v>
      </c>
      <c r="DE52">
        <v>1</v>
      </c>
      <c r="DF52">
        <v>5</v>
      </c>
      <c r="DG52" s="45">
        <v>11.1</v>
      </c>
      <c r="DH52" s="45">
        <v>60</v>
      </c>
      <c r="DI52" s="45">
        <v>40.6</v>
      </c>
      <c r="DJ52" s="45">
        <v>111.7</v>
      </c>
      <c r="DK52">
        <v>2</v>
      </c>
      <c r="DL52">
        <v>0</v>
      </c>
      <c r="DM52">
        <v>3</v>
      </c>
      <c r="DN52">
        <v>5</v>
      </c>
      <c r="DO52" s="45">
        <v>9.2</v>
      </c>
      <c r="DP52" s="45">
        <v>0</v>
      </c>
      <c r="DQ52" s="45">
        <v>43.2</v>
      </c>
      <c r="DR52" s="45">
        <v>52.4</v>
      </c>
      <c r="DS52">
        <v>1</v>
      </c>
      <c r="DT52">
        <v>0</v>
      </c>
      <c r="DU52">
        <v>0</v>
      </c>
      <c r="DV52">
        <v>1</v>
      </c>
      <c r="DW52" s="45">
        <v>0.4</v>
      </c>
      <c r="DX52" s="45">
        <v>0</v>
      </c>
      <c r="DY52" s="45">
        <v>0</v>
      </c>
      <c r="DZ52" s="45">
        <v>0.4</v>
      </c>
      <c r="EA52">
        <v>0</v>
      </c>
      <c r="EB52">
        <v>0</v>
      </c>
      <c r="EC52">
        <v>2</v>
      </c>
      <c r="ED52">
        <v>2</v>
      </c>
      <c r="EE52">
        <v>0</v>
      </c>
      <c r="EF52" s="45">
        <v>0</v>
      </c>
      <c r="EG52" s="45">
        <v>115.3</v>
      </c>
      <c r="EH52" s="45">
        <v>115.3</v>
      </c>
      <c r="EI52">
        <v>76</v>
      </c>
      <c r="EJ52">
        <v>52</v>
      </c>
      <c r="EK52">
        <v>36</v>
      </c>
      <c r="EL52">
        <v>164</v>
      </c>
      <c r="EM52" s="45">
        <v>116.05</v>
      </c>
      <c r="EN52" s="45">
        <v>143.1</v>
      </c>
      <c r="EO52" s="45">
        <v>422.36</v>
      </c>
      <c r="EP52">
        <v>681.51</v>
      </c>
    </row>
    <row r="53" spans="1:146" ht="9">
      <c r="A53" s="68" t="s">
        <v>66</v>
      </c>
      <c r="B53">
        <v>19</v>
      </c>
      <c r="C53">
        <v>306</v>
      </c>
      <c r="D53">
        <v>108</v>
      </c>
      <c r="E53">
        <v>48</v>
      </c>
      <c r="F53">
        <v>462</v>
      </c>
      <c r="G53" s="45">
        <v>61.87</v>
      </c>
      <c r="H53" s="45">
        <v>20.13</v>
      </c>
      <c r="I53" s="45">
        <v>13.94</v>
      </c>
      <c r="J53" s="45">
        <v>95.94</v>
      </c>
      <c r="K53">
        <v>21</v>
      </c>
      <c r="L53">
        <v>12</v>
      </c>
      <c r="M53">
        <v>22</v>
      </c>
      <c r="N53">
        <v>55</v>
      </c>
      <c r="O53" s="45">
        <v>35</v>
      </c>
      <c r="P53" s="45">
        <v>29.3</v>
      </c>
      <c r="Q53" s="45">
        <v>75.2</v>
      </c>
      <c r="R53" s="45">
        <v>139.5</v>
      </c>
      <c r="S53">
        <v>5</v>
      </c>
      <c r="T53">
        <v>2</v>
      </c>
      <c r="U53">
        <v>13</v>
      </c>
      <c r="V53">
        <v>20</v>
      </c>
      <c r="W53" s="45">
        <v>33.4</v>
      </c>
      <c r="X53" s="45">
        <v>13.8</v>
      </c>
      <c r="Y53" s="45">
        <v>88.8</v>
      </c>
      <c r="Z53" s="45">
        <v>136</v>
      </c>
      <c r="AA53">
        <v>4</v>
      </c>
      <c r="AB53">
        <v>5</v>
      </c>
      <c r="AC53">
        <v>13</v>
      </c>
      <c r="AD53">
        <v>22</v>
      </c>
      <c r="AE53" s="45">
        <v>76.8</v>
      </c>
      <c r="AF53" s="45">
        <v>188.3</v>
      </c>
      <c r="AG53" s="45">
        <v>877.5</v>
      </c>
      <c r="AH53" s="45">
        <v>1142.6</v>
      </c>
      <c r="AI53">
        <v>1</v>
      </c>
      <c r="AJ53">
        <v>3</v>
      </c>
      <c r="AK53">
        <v>1</v>
      </c>
      <c r="AL53">
        <v>5</v>
      </c>
      <c r="AM53" s="45">
        <v>17.8</v>
      </c>
      <c r="AN53" s="45">
        <v>53.6</v>
      </c>
      <c r="AO53" s="45">
        <v>62.5</v>
      </c>
      <c r="AP53" s="45">
        <v>133.9</v>
      </c>
      <c r="AQ53">
        <v>1</v>
      </c>
      <c r="AR53">
        <v>0</v>
      </c>
      <c r="AS53">
        <v>9</v>
      </c>
      <c r="AT53">
        <v>10</v>
      </c>
      <c r="AU53" s="45">
        <v>4.2</v>
      </c>
      <c r="AV53" s="45">
        <v>0</v>
      </c>
      <c r="AW53" s="45">
        <v>306.3</v>
      </c>
      <c r="AX53" s="45">
        <v>310.5</v>
      </c>
      <c r="AY53">
        <v>2</v>
      </c>
      <c r="AZ53">
        <v>1</v>
      </c>
      <c r="BA53">
        <v>0</v>
      </c>
      <c r="BB53">
        <v>3</v>
      </c>
      <c r="BC53" s="45">
        <v>14.3</v>
      </c>
      <c r="BD53" s="45">
        <v>3.7</v>
      </c>
      <c r="BE53" s="45">
        <v>0</v>
      </c>
      <c r="BF53" s="45">
        <v>18</v>
      </c>
      <c r="BG53">
        <v>0</v>
      </c>
      <c r="BH53">
        <v>0</v>
      </c>
      <c r="BI53">
        <v>1</v>
      </c>
      <c r="BJ53">
        <v>1</v>
      </c>
      <c r="BK53" s="45">
        <v>0</v>
      </c>
      <c r="BL53" s="45">
        <v>0</v>
      </c>
      <c r="BM53" s="45">
        <v>48.4</v>
      </c>
      <c r="BN53" s="45">
        <v>48.4</v>
      </c>
      <c r="BO53">
        <v>340</v>
      </c>
      <c r="BP53">
        <v>131</v>
      </c>
      <c r="BQ53">
        <v>107</v>
      </c>
      <c r="BR53">
        <v>578</v>
      </c>
      <c r="BS53" s="45">
        <v>243.37</v>
      </c>
      <c r="BT53" s="45">
        <v>308.83</v>
      </c>
      <c r="BU53" s="45">
        <v>1472.64</v>
      </c>
      <c r="BV53" s="45">
        <v>2024.84</v>
      </c>
      <c r="BW53">
        <v>298</v>
      </c>
      <c r="BX53">
        <v>105</v>
      </c>
      <c r="BY53">
        <v>48</v>
      </c>
      <c r="BZ53">
        <v>451</v>
      </c>
      <c r="CA53" s="45">
        <v>60.67</v>
      </c>
      <c r="CB53" s="45">
        <v>19.63</v>
      </c>
      <c r="CC53" s="45">
        <v>14.04</v>
      </c>
      <c r="CD53" s="45">
        <v>94.34</v>
      </c>
      <c r="CE53">
        <v>21</v>
      </c>
      <c r="CF53">
        <v>11</v>
      </c>
      <c r="CG53">
        <v>21</v>
      </c>
      <c r="CH53">
        <v>53</v>
      </c>
      <c r="CI53" s="45">
        <v>32</v>
      </c>
      <c r="CJ53" s="45">
        <v>24.3</v>
      </c>
      <c r="CK53" s="45">
        <v>45</v>
      </c>
      <c r="CL53" s="45">
        <v>101.3</v>
      </c>
      <c r="CM53">
        <v>5</v>
      </c>
      <c r="CN53">
        <v>2</v>
      </c>
      <c r="CO53">
        <v>13</v>
      </c>
      <c r="CP53">
        <v>20</v>
      </c>
      <c r="CQ53" s="45">
        <v>33.1</v>
      </c>
      <c r="CR53" s="45">
        <v>13.8</v>
      </c>
      <c r="CS53" s="45">
        <v>78.1</v>
      </c>
      <c r="CT53" s="45">
        <v>125</v>
      </c>
      <c r="CU53">
        <v>4</v>
      </c>
      <c r="CV53">
        <v>5</v>
      </c>
      <c r="CW53">
        <v>13</v>
      </c>
      <c r="CX53">
        <v>22</v>
      </c>
      <c r="CY53" s="45">
        <v>73.4</v>
      </c>
      <c r="CZ53" s="45">
        <v>165.1</v>
      </c>
      <c r="DA53" s="45">
        <v>268.9</v>
      </c>
      <c r="DB53" s="45">
        <v>507.4</v>
      </c>
      <c r="DC53">
        <v>1</v>
      </c>
      <c r="DD53">
        <v>1</v>
      </c>
      <c r="DE53">
        <v>1</v>
      </c>
      <c r="DF53">
        <v>3</v>
      </c>
      <c r="DG53" s="45">
        <v>17.8</v>
      </c>
      <c r="DH53" s="45">
        <v>11.8</v>
      </c>
      <c r="DI53" s="45">
        <v>43.8</v>
      </c>
      <c r="DJ53" s="45">
        <v>73.4</v>
      </c>
      <c r="DK53">
        <v>1</v>
      </c>
      <c r="DL53">
        <v>1</v>
      </c>
      <c r="DM53">
        <v>7</v>
      </c>
      <c r="DN53">
        <v>9</v>
      </c>
      <c r="DO53" s="45">
        <v>2.9</v>
      </c>
      <c r="DP53" s="45">
        <v>1.7</v>
      </c>
      <c r="DQ53" s="45">
        <v>176.4</v>
      </c>
      <c r="DR53" s="45">
        <v>181</v>
      </c>
      <c r="DS53">
        <v>2</v>
      </c>
      <c r="DT53">
        <v>1</v>
      </c>
      <c r="DU53">
        <v>0</v>
      </c>
      <c r="DV53">
        <v>3</v>
      </c>
      <c r="DW53" s="45">
        <v>13.6</v>
      </c>
      <c r="DX53" s="45">
        <v>3.7</v>
      </c>
      <c r="DY53" s="45">
        <v>0</v>
      </c>
      <c r="DZ53" s="45">
        <v>17.3</v>
      </c>
      <c r="EA53">
        <v>0</v>
      </c>
      <c r="EB53">
        <v>0</v>
      </c>
      <c r="EC53">
        <v>1</v>
      </c>
      <c r="ED53">
        <v>1</v>
      </c>
      <c r="EE53">
        <v>0</v>
      </c>
      <c r="EF53" s="45">
        <v>0</v>
      </c>
      <c r="EG53" s="45">
        <v>36.9</v>
      </c>
      <c r="EH53" s="45">
        <v>36.9</v>
      </c>
      <c r="EI53">
        <v>332</v>
      </c>
      <c r="EJ53">
        <v>126</v>
      </c>
      <c r="EK53">
        <v>104</v>
      </c>
      <c r="EL53">
        <v>562</v>
      </c>
      <c r="EM53" s="45">
        <v>233.47</v>
      </c>
      <c r="EN53" s="45">
        <v>240.03</v>
      </c>
      <c r="EO53" s="45">
        <v>663.14</v>
      </c>
      <c r="EP53">
        <v>1136.64</v>
      </c>
    </row>
    <row r="54" spans="1:146" ht="9">
      <c r="A54" s="68" t="s">
        <v>67</v>
      </c>
      <c r="B54">
        <v>18</v>
      </c>
      <c r="C54">
        <v>240</v>
      </c>
      <c r="D54">
        <v>40</v>
      </c>
      <c r="E54">
        <v>44</v>
      </c>
      <c r="F54">
        <v>324</v>
      </c>
      <c r="G54" s="45">
        <v>54.64</v>
      </c>
      <c r="H54" s="45">
        <v>10.53</v>
      </c>
      <c r="I54" s="45">
        <v>11.21</v>
      </c>
      <c r="J54" s="45">
        <v>76.38</v>
      </c>
      <c r="K54">
        <v>31</v>
      </c>
      <c r="L54">
        <v>5</v>
      </c>
      <c r="M54">
        <v>23</v>
      </c>
      <c r="N54">
        <v>59</v>
      </c>
      <c r="O54" s="45">
        <v>53.5</v>
      </c>
      <c r="P54" s="45">
        <v>10.5</v>
      </c>
      <c r="Q54" s="45">
        <v>42.76</v>
      </c>
      <c r="R54" s="45">
        <v>106.76</v>
      </c>
      <c r="S54">
        <v>4</v>
      </c>
      <c r="T54">
        <v>2</v>
      </c>
      <c r="U54">
        <v>10</v>
      </c>
      <c r="V54">
        <v>16</v>
      </c>
      <c r="W54" s="45">
        <v>19.9</v>
      </c>
      <c r="X54" s="45">
        <v>10.6</v>
      </c>
      <c r="Y54" s="45">
        <v>49.5</v>
      </c>
      <c r="Z54" s="45">
        <v>80</v>
      </c>
      <c r="AA54">
        <v>1</v>
      </c>
      <c r="AB54">
        <v>3</v>
      </c>
      <c r="AC54">
        <v>11</v>
      </c>
      <c r="AD54">
        <v>15</v>
      </c>
      <c r="AE54" s="45">
        <v>56.3</v>
      </c>
      <c r="AF54" s="45">
        <v>73.8</v>
      </c>
      <c r="AG54" s="45">
        <v>182.1</v>
      </c>
      <c r="AH54" s="45">
        <v>312.2</v>
      </c>
      <c r="AI54">
        <v>2</v>
      </c>
      <c r="AJ54">
        <v>1</v>
      </c>
      <c r="AK54">
        <v>4</v>
      </c>
      <c r="AL54">
        <v>7</v>
      </c>
      <c r="AM54" s="45">
        <v>41.2</v>
      </c>
      <c r="AN54" s="45">
        <v>13</v>
      </c>
      <c r="AO54" s="45">
        <v>155.5</v>
      </c>
      <c r="AP54" s="45">
        <v>209.7</v>
      </c>
      <c r="AQ54">
        <v>1</v>
      </c>
      <c r="AR54">
        <v>2</v>
      </c>
      <c r="AS54">
        <v>3</v>
      </c>
      <c r="AT54">
        <v>6</v>
      </c>
      <c r="AU54" s="45">
        <v>14.6</v>
      </c>
      <c r="AV54" s="45">
        <v>4.9</v>
      </c>
      <c r="AW54" s="45">
        <v>15</v>
      </c>
      <c r="AX54" s="45">
        <v>34.5</v>
      </c>
      <c r="AY54">
        <v>5</v>
      </c>
      <c r="AZ54">
        <v>2</v>
      </c>
      <c r="BA54">
        <v>3</v>
      </c>
      <c r="BB54">
        <v>10</v>
      </c>
      <c r="BC54" s="45">
        <v>10.5</v>
      </c>
      <c r="BD54" s="45">
        <v>6.7</v>
      </c>
      <c r="BE54" s="45">
        <v>16.4</v>
      </c>
      <c r="BF54" s="45">
        <v>33.6</v>
      </c>
      <c r="BG54">
        <v>1</v>
      </c>
      <c r="BH54">
        <v>0</v>
      </c>
      <c r="BI54">
        <v>2</v>
      </c>
      <c r="BJ54">
        <v>3</v>
      </c>
      <c r="BK54" s="45">
        <v>126.9</v>
      </c>
      <c r="BL54" s="45">
        <v>0</v>
      </c>
      <c r="BM54" s="45">
        <v>98.4</v>
      </c>
      <c r="BN54" s="45">
        <v>225.3</v>
      </c>
      <c r="BO54">
        <v>285</v>
      </c>
      <c r="BP54">
        <v>55</v>
      </c>
      <c r="BQ54">
        <v>100</v>
      </c>
      <c r="BR54">
        <v>440</v>
      </c>
      <c r="BS54" s="45">
        <v>377.54</v>
      </c>
      <c r="BT54" s="45">
        <v>130.03</v>
      </c>
      <c r="BU54" s="45">
        <v>570.87</v>
      </c>
      <c r="BV54" s="45">
        <v>1078.44</v>
      </c>
      <c r="BW54">
        <v>238</v>
      </c>
      <c r="BX54">
        <v>40</v>
      </c>
      <c r="BY54">
        <v>42</v>
      </c>
      <c r="BZ54">
        <v>320</v>
      </c>
      <c r="CA54" s="45">
        <v>55.24</v>
      </c>
      <c r="CB54" s="45">
        <v>10.56</v>
      </c>
      <c r="CC54" s="45">
        <v>10.83</v>
      </c>
      <c r="CD54" s="45">
        <v>76.63</v>
      </c>
      <c r="CE54">
        <v>29</v>
      </c>
      <c r="CF54">
        <v>5</v>
      </c>
      <c r="CG54">
        <v>24</v>
      </c>
      <c r="CH54">
        <v>58</v>
      </c>
      <c r="CI54" s="45">
        <v>41.9</v>
      </c>
      <c r="CJ54" s="45">
        <v>10.5</v>
      </c>
      <c r="CK54" s="45">
        <v>41.2</v>
      </c>
      <c r="CL54" s="45">
        <v>93.6</v>
      </c>
      <c r="CM54">
        <v>4</v>
      </c>
      <c r="CN54">
        <v>2</v>
      </c>
      <c r="CO54">
        <v>8</v>
      </c>
      <c r="CP54">
        <v>14</v>
      </c>
      <c r="CQ54" s="45">
        <v>19.6</v>
      </c>
      <c r="CR54" s="45">
        <v>10.6</v>
      </c>
      <c r="CS54" s="45">
        <v>36.7</v>
      </c>
      <c r="CT54" s="45">
        <v>66.9</v>
      </c>
      <c r="CU54">
        <v>1</v>
      </c>
      <c r="CV54">
        <v>3</v>
      </c>
      <c r="CW54">
        <v>9</v>
      </c>
      <c r="CX54">
        <v>13</v>
      </c>
      <c r="CY54" s="45">
        <v>53.6</v>
      </c>
      <c r="CZ54" s="45">
        <v>36</v>
      </c>
      <c r="DA54" s="45">
        <v>161.7</v>
      </c>
      <c r="DB54" s="45">
        <v>251.3</v>
      </c>
      <c r="DC54">
        <v>2</v>
      </c>
      <c r="DD54">
        <v>1</v>
      </c>
      <c r="DE54">
        <v>3</v>
      </c>
      <c r="DF54">
        <v>6</v>
      </c>
      <c r="DG54" s="45">
        <v>41.2</v>
      </c>
      <c r="DH54" s="45">
        <v>13</v>
      </c>
      <c r="DI54" s="45">
        <v>143.6</v>
      </c>
      <c r="DJ54" s="45">
        <v>197.8</v>
      </c>
      <c r="DK54">
        <v>1</v>
      </c>
      <c r="DL54">
        <v>2</v>
      </c>
      <c r="DM54">
        <v>3</v>
      </c>
      <c r="DN54">
        <v>6</v>
      </c>
      <c r="DO54" s="45">
        <v>13.5</v>
      </c>
      <c r="DP54" s="45">
        <v>3.6</v>
      </c>
      <c r="DQ54" s="45">
        <v>15</v>
      </c>
      <c r="DR54" s="45">
        <v>32.1</v>
      </c>
      <c r="DS54">
        <v>5</v>
      </c>
      <c r="DT54">
        <v>2</v>
      </c>
      <c r="DU54">
        <v>3</v>
      </c>
      <c r="DV54">
        <v>10</v>
      </c>
      <c r="DW54" s="45">
        <v>10.5</v>
      </c>
      <c r="DX54" s="45">
        <v>5.1</v>
      </c>
      <c r="DY54" s="45">
        <v>11.1</v>
      </c>
      <c r="DZ54" s="45">
        <v>26.7</v>
      </c>
      <c r="EA54">
        <v>1</v>
      </c>
      <c r="EB54">
        <v>0</v>
      </c>
      <c r="EC54">
        <v>2</v>
      </c>
      <c r="ED54">
        <v>3</v>
      </c>
      <c r="EE54">
        <v>125.4</v>
      </c>
      <c r="EF54" s="45">
        <v>0</v>
      </c>
      <c r="EG54" s="45">
        <v>49.4</v>
      </c>
      <c r="EH54" s="45">
        <v>174.8</v>
      </c>
      <c r="EI54">
        <v>281</v>
      </c>
      <c r="EJ54">
        <v>55</v>
      </c>
      <c r="EK54">
        <v>94</v>
      </c>
      <c r="EL54">
        <v>430</v>
      </c>
      <c r="EM54" s="45">
        <v>360.94</v>
      </c>
      <c r="EN54" s="45">
        <v>89.36</v>
      </c>
      <c r="EO54" s="45">
        <v>469.53</v>
      </c>
      <c r="EP54">
        <v>919.83</v>
      </c>
    </row>
    <row r="55" spans="1:146" ht="9">
      <c r="A55" s="68" t="s">
        <v>68</v>
      </c>
      <c r="B55">
        <v>16</v>
      </c>
      <c r="C55">
        <v>169</v>
      </c>
      <c r="D55">
        <v>113</v>
      </c>
      <c r="E55">
        <v>10</v>
      </c>
      <c r="F55">
        <v>292</v>
      </c>
      <c r="G55" s="45">
        <v>48.21</v>
      </c>
      <c r="H55" s="45">
        <v>29.84</v>
      </c>
      <c r="I55" s="45">
        <v>2.59</v>
      </c>
      <c r="J55" s="45">
        <v>80.64</v>
      </c>
      <c r="K55">
        <v>27</v>
      </c>
      <c r="L55">
        <v>24</v>
      </c>
      <c r="M55">
        <v>5</v>
      </c>
      <c r="N55">
        <v>56</v>
      </c>
      <c r="O55" s="45">
        <v>57.6</v>
      </c>
      <c r="P55" s="45">
        <v>40.8</v>
      </c>
      <c r="Q55" s="45">
        <v>11.5</v>
      </c>
      <c r="R55" s="45">
        <v>109.9</v>
      </c>
      <c r="S55">
        <v>3</v>
      </c>
      <c r="T55">
        <v>4</v>
      </c>
      <c r="U55">
        <v>4</v>
      </c>
      <c r="V55">
        <v>11</v>
      </c>
      <c r="W55" s="45">
        <v>15.5</v>
      </c>
      <c r="X55" s="45">
        <v>20.4</v>
      </c>
      <c r="Y55" s="45">
        <v>23.2</v>
      </c>
      <c r="Z55" s="45">
        <v>59.1</v>
      </c>
      <c r="AA55">
        <v>9</v>
      </c>
      <c r="AB55">
        <v>12</v>
      </c>
      <c r="AC55">
        <v>5</v>
      </c>
      <c r="AD55">
        <v>26</v>
      </c>
      <c r="AE55" s="45">
        <v>104</v>
      </c>
      <c r="AF55" s="45">
        <v>107.7</v>
      </c>
      <c r="AG55" s="45">
        <v>64.5</v>
      </c>
      <c r="AH55" s="45">
        <v>276.2</v>
      </c>
      <c r="AI55">
        <v>5</v>
      </c>
      <c r="AJ55">
        <v>4</v>
      </c>
      <c r="AK55">
        <v>2</v>
      </c>
      <c r="AL55">
        <v>11</v>
      </c>
      <c r="AM55" s="45">
        <v>84.5</v>
      </c>
      <c r="AN55" s="45">
        <v>84.1</v>
      </c>
      <c r="AO55" s="45">
        <v>57.3</v>
      </c>
      <c r="AP55" s="45">
        <v>225.9</v>
      </c>
      <c r="AQ55">
        <v>1</v>
      </c>
      <c r="AR55">
        <v>7</v>
      </c>
      <c r="AS55">
        <v>4</v>
      </c>
      <c r="AT55">
        <v>12</v>
      </c>
      <c r="AU55" s="45">
        <v>14</v>
      </c>
      <c r="AV55" s="45">
        <v>149.6</v>
      </c>
      <c r="AW55" s="45">
        <v>85.9</v>
      </c>
      <c r="AX55" s="45">
        <v>249.5</v>
      </c>
      <c r="AY55">
        <v>3</v>
      </c>
      <c r="AZ55">
        <v>2</v>
      </c>
      <c r="BA55">
        <v>4</v>
      </c>
      <c r="BB55">
        <v>9</v>
      </c>
      <c r="BC55" s="45">
        <v>19.2</v>
      </c>
      <c r="BD55" s="45">
        <v>6.4</v>
      </c>
      <c r="BE55" s="45">
        <v>30.7</v>
      </c>
      <c r="BF55" s="45">
        <v>56.3</v>
      </c>
      <c r="BG55">
        <v>0</v>
      </c>
      <c r="BH55">
        <v>0</v>
      </c>
      <c r="BI55">
        <v>2</v>
      </c>
      <c r="BJ55">
        <v>2</v>
      </c>
      <c r="BK55" s="45">
        <v>0</v>
      </c>
      <c r="BL55" s="45">
        <v>0</v>
      </c>
      <c r="BM55" s="45">
        <v>297</v>
      </c>
      <c r="BN55" s="45">
        <v>297</v>
      </c>
      <c r="BO55">
        <v>217</v>
      </c>
      <c r="BP55">
        <v>166</v>
      </c>
      <c r="BQ55">
        <v>36</v>
      </c>
      <c r="BR55">
        <v>419</v>
      </c>
      <c r="BS55" s="45">
        <v>343.01</v>
      </c>
      <c r="BT55" s="45">
        <v>438.84</v>
      </c>
      <c r="BU55" s="45">
        <v>572.69</v>
      </c>
      <c r="BV55" s="45">
        <v>1354.54</v>
      </c>
      <c r="BW55">
        <v>156</v>
      </c>
      <c r="BX55">
        <v>102</v>
      </c>
      <c r="BY55">
        <v>10</v>
      </c>
      <c r="BZ55">
        <v>268</v>
      </c>
      <c r="CA55" s="45">
        <v>43.43</v>
      </c>
      <c r="CB55" s="45">
        <v>25.39</v>
      </c>
      <c r="CC55" s="45">
        <v>2.59</v>
      </c>
      <c r="CD55" s="45">
        <v>71.41</v>
      </c>
      <c r="CE55">
        <v>21</v>
      </c>
      <c r="CF55">
        <v>19</v>
      </c>
      <c r="CG55">
        <v>3</v>
      </c>
      <c r="CH55">
        <v>43</v>
      </c>
      <c r="CI55" s="45">
        <v>35.6</v>
      </c>
      <c r="CJ55" s="45">
        <v>28.3</v>
      </c>
      <c r="CK55" s="45">
        <v>3.1</v>
      </c>
      <c r="CL55" s="45">
        <v>67</v>
      </c>
      <c r="CM55">
        <v>3</v>
      </c>
      <c r="CN55">
        <v>2</v>
      </c>
      <c r="CO55">
        <v>4</v>
      </c>
      <c r="CP55">
        <v>9</v>
      </c>
      <c r="CQ55" s="45">
        <v>13.5</v>
      </c>
      <c r="CR55" s="45">
        <v>11.8</v>
      </c>
      <c r="CS55" s="45">
        <v>21</v>
      </c>
      <c r="CT55" s="45">
        <v>46.3</v>
      </c>
      <c r="CU55">
        <v>8</v>
      </c>
      <c r="CV55">
        <v>9</v>
      </c>
      <c r="CW55">
        <v>4</v>
      </c>
      <c r="CX55">
        <v>21</v>
      </c>
      <c r="CY55" s="45">
        <v>84.6</v>
      </c>
      <c r="CZ55" s="45">
        <v>47.5</v>
      </c>
      <c r="DA55" s="45">
        <v>50.2</v>
      </c>
      <c r="DB55" s="45">
        <v>182.3</v>
      </c>
      <c r="DC55">
        <v>4</v>
      </c>
      <c r="DD55">
        <v>2</v>
      </c>
      <c r="DE55">
        <v>2</v>
      </c>
      <c r="DF55">
        <v>8</v>
      </c>
      <c r="DG55" s="45">
        <v>44.6</v>
      </c>
      <c r="DH55" s="45">
        <v>48.5</v>
      </c>
      <c r="DI55" s="45">
        <v>53.8</v>
      </c>
      <c r="DJ55" s="45">
        <v>146.9</v>
      </c>
      <c r="DK55">
        <v>1</v>
      </c>
      <c r="DL55">
        <v>5</v>
      </c>
      <c r="DM55">
        <v>3</v>
      </c>
      <c r="DN55">
        <v>9</v>
      </c>
      <c r="DO55" s="45">
        <v>13</v>
      </c>
      <c r="DP55" s="45">
        <v>24</v>
      </c>
      <c r="DQ55" s="45">
        <v>10.9</v>
      </c>
      <c r="DR55" s="45">
        <v>47.9</v>
      </c>
      <c r="DS55">
        <v>2</v>
      </c>
      <c r="DT55">
        <v>1</v>
      </c>
      <c r="DU55">
        <v>2</v>
      </c>
      <c r="DV55">
        <v>5</v>
      </c>
      <c r="DW55" s="45">
        <v>1.7</v>
      </c>
      <c r="DX55" s="45">
        <v>5.7</v>
      </c>
      <c r="DY55" s="45">
        <v>25.9</v>
      </c>
      <c r="DZ55" s="45">
        <v>33.3</v>
      </c>
      <c r="EA55">
        <v>0</v>
      </c>
      <c r="EB55">
        <v>0</v>
      </c>
      <c r="EC55">
        <v>2</v>
      </c>
      <c r="ED55">
        <v>2</v>
      </c>
      <c r="EE55">
        <v>0</v>
      </c>
      <c r="EF55" s="45">
        <v>0</v>
      </c>
      <c r="EG55" s="45">
        <v>199.3</v>
      </c>
      <c r="EH55" s="45">
        <v>199.3</v>
      </c>
      <c r="EI55">
        <v>195</v>
      </c>
      <c r="EJ55">
        <v>140</v>
      </c>
      <c r="EK55">
        <v>30</v>
      </c>
      <c r="EL55">
        <v>365</v>
      </c>
      <c r="EM55" s="45">
        <v>236.43</v>
      </c>
      <c r="EN55" s="45">
        <v>191.19</v>
      </c>
      <c r="EO55" s="45">
        <v>366.79</v>
      </c>
      <c r="EP55">
        <v>794.41</v>
      </c>
    </row>
    <row r="56" spans="1:146" ht="9">
      <c r="A56" s="68" t="s">
        <v>69</v>
      </c>
      <c r="B56">
        <v>19</v>
      </c>
      <c r="C56">
        <v>308</v>
      </c>
      <c r="D56">
        <v>132</v>
      </c>
      <c r="E56">
        <v>22</v>
      </c>
      <c r="F56">
        <v>462</v>
      </c>
      <c r="G56" s="45">
        <v>73.75</v>
      </c>
      <c r="H56" s="45">
        <v>30.04</v>
      </c>
      <c r="I56" s="45">
        <v>6.7</v>
      </c>
      <c r="J56" s="45">
        <v>110.49</v>
      </c>
      <c r="K56">
        <v>17</v>
      </c>
      <c r="L56">
        <v>21</v>
      </c>
      <c r="M56">
        <v>11</v>
      </c>
      <c r="N56">
        <v>49</v>
      </c>
      <c r="O56" s="45">
        <v>39.4</v>
      </c>
      <c r="P56" s="45">
        <v>31.9</v>
      </c>
      <c r="Q56" s="45">
        <v>22.4</v>
      </c>
      <c r="R56" s="45">
        <v>93.7</v>
      </c>
      <c r="S56">
        <v>4</v>
      </c>
      <c r="T56">
        <v>5</v>
      </c>
      <c r="U56">
        <v>4</v>
      </c>
      <c r="V56">
        <v>13</v>
      </c>
      <c r="W56" s="45">
        <v>30.1</v>
      </c>
      <c r="X56" s="45">
        <v>39.5</v>
      </c>
      <c r="Y56" s="45">
        <v>20.3</v>
      </c>
      <c r="Z56" s="45">
        <v>89.9</v>
      </c>
      <c r="AA56">
        <v>3</v>
      </c>
      <c r="AB56">
        <v>3</v>
      </c>
      <c r="AC56">
        <v>12</v>
      </c>
      <c r="AD56">
        <v>18</v>
      </c>
      <c r="AE56" s="45">
        <v>29.5</v>
      </c>
      <c r="AF56" s="45">
        <v>75.7</v>
      </c>
      <c r="AG56" s="45">
        <v>367.3</v>
      </c>
      <c r="AH56" s="45">
        <v>472.5</v>
      </c>
      <c r="AI56">
        <v>3</v>
      </c>
      <c r="AJ56">
        <v>7</v>
      </c>
      <c r="AK56">
        <v>10</v>
      </c>
      <c r="AL56">
        <v>20</v>
      </c>
      <c r="AM56" s="45">
        <v>63.2</v>
      </c>
      <c r="AN56" s="45">
        <v>111.2</v>
      </c>
      <c r="AO56" s="45">
        <v>233.9</v>
      </c>
      <c r="AP56" s="45">
        <v>408.3</v>
      </c>
      <c r="AQ56">
        <v>1</v>
      </c>
      <c r="AR56">
        <v>0</v>
      </c>
      <c r="AS56">
        <v>8</v>
      </c>
      <c r="AT56">
        <v>9</v>
      </c>
      <c r="AU56" s="45">
        <v>8.5</v>
      </c>
      <c r="AV56" s="45">
        <v>0</v>
      </c>
      <c r="AW56" s="45">
        <v>185.5</v>
      </c>
      <c r="AX56" s="45">
        <v>194</v>
      </c>
      <c r="AY56">
        <v>2</v>
      </c>
      <c r="AZ56">
        <v>1</v>
      </c>
      <c r="BA56">
        <v>4</v>
      </c>
      <c r="BB56">
        <v>7</v>
      </c>
      <c r="BC56" s="45">
        <v>17.1</v>
      </c>
      <c r="BD56" s="45">
        <v>0.2</v>
      </c>
      <c r="BE56" s="45">
        <v>101.3</v>
      </c>
      <c r="BF56" s="45">
        <v>118.6</v>
      </c>
      <c r="BG56">
        <v>0</v>
      </c>
      <c r="BH56">
        <v>0</v>
      </c>
      <c r="BI56">
        <v>2</v>
      </c>
      <c r="BJ56">
        <v>2</v>
      </c>
      <c r="BK56" s="45">
        <v>0</v>
      </c>
      <c r="BL56" s="45">
        <v>0</v>
      </c>
      <c r="BM56" s="45">
        <v>544.9</v>
      </c>
      <c r="BN56" s="45">
        <v>544.9</v>
      </c>
      <c r="BO56">
        <v>338</v>
      </c>
      <c r="BP56">
        <v>169</v>
      </c>
      <c r="BQ56">
        <v>73</v>
      </c>
      <c r="BR56">
        <v>580</v>
      </c>
      <c r="BS56" s="45">
        <v>261.55</v>
      </c>
      <c r="BT56" s="45">
        <v>288.54</v>
      </c>
      <c r="BU56" s="45">
        <v>1482.3</v>
      </c>
      <c r="BV56" s="45">
        <v>2032.39</v>
      </c>
      <c r="BW56">
        <v>302</v>
      </c>
      <c r="BX56">
        <v>124</v>
      </c>
      <c r="BY56">
        <v>22</v>
      </c>
      <c r="BZ56">
        <v>448</v>
      </c>
      <c r="CA56" s="45">
        <v>71.56</v>
      </c>
      <c r="CB56" s="45">
        <v>28.27</v>
      </c>
      <c r="CC56" s="45">
        <v>6.52</v>
      </c>
      <c r="CD56" s="45">
        <v>106.35</v>
      </c>
      <c r="CE56">
        <v>16</v>
      </c>
      <c r="CF56">
        <v>18</v>
      </c>
      <c r="CG56">
        <v>10</v>
      </c>
      <c r="CH56">
        <v>44</v>
      </c>
      <c r="CI56" s="45">
        <v>36.8</v>
      </c>
      <c r="CJ56" s="45">
        <v>27</v>
      </c>
      <c r="CK56" s="45">
        <v>20.2</v>
      </c>
      <c r="CL56" s="45">
        <v>84</v>
      </c>
      <c r="CM56">
        <v>4</v>
      </c>
      <c r="CN56">
        <v>5</v>
      </c>
      <c r="CO56">
        <v>4</v>
      </c>
      <c r="CP56">
        <v>13</v>
      </c>
      <c r="CQ56" s="45">
        <v>30.1</v>
      </c>
      <c r="CR56" s="45">
        <v>31.8</v>
      </c>
      <c r="CS56" s="45">
        <v>16.9</v>
      </c>
      <c r="CT56" s="45">
        <v>78.8</v>
      </c>
      <c r="CU56">
        <v>3</v>
      </c>
      <c r="CV56">
        <v>3</v>
      </c>
      <c r="CW56">
        <v>12</v>
      </c>
      <c r="CX56">
        <v>18</v>
      </c>
      <c r="CY56" s="45">
        <v>23.3</v>
      </c>
      <c r="CZ56" s="45">
        <v>75.7</v>
      </c>
      <c r="DA56" s="45">
        <v>257.8</v>
      </c>
      <c r="DB56" s="45">
        <v>356.8</v>
      </c>
      <c r="DC56">
        <v>3</v>
      </c>
      <c r="DD56">
        <v>7</v>
      </c>
      <c r="DE56">
        <v>10</v>
      </c>
      <c r="DF56">
        <v>20</v>
      </c>
      <c r="DG56" s="45">
        <v>60.8</v>
      </c>
      <c r="DH56" s="45">
        <v>111.2</v>
      </c>
      <c r="DI56" s="45">
        <v>162.2</v>
      </c>
      <c r="DJ56" s="45">
        <v>334.2</v>
      </c>
      <c r="DK56">
        <v>1</v>
      </c>
      <c r="DL56">
        <v>0</v>
      </c>
      <c r="DM56">
        <v>7</v>
      </c>
      <c r="DN56">
        <v>8</v>
      </c>
      <c r="DO56" s="45">
        <v>4.2</v>
      </c>
      <c r="DP56" s="45">
        <v>0</v>
      </c>
      <c r="DQ56" s="45">
        <v>144.6</v>
      </c>
      <c r="DR56" s="45">
        <v>148.8</v>
      </c>
      <c r="DS56">
        <v>2</v>
      </c>
      <c r="DT56">
        <v>1</v>
      </c>
      <c r="DU56">
        <v>4</v>
      </c>
      <c r="DV56">
        <v>7</v>
      </c>
      <c r="DW56" s="45">
        <v>14.4</v>
      </c>
      <c r="DX56" s="45">
        <v>0.21</v>
      </c>
      <c r="DY56" s="45">
        <v>94.9</v>
      </c>
      <c r="DZ56" s="45">
        <v>109.51</v>
      </c>
      <c r="EA56">
        <v>0</v>
      </c>
      <c r="EB56">
        <v>0</v>
      </c>
      <c r="EC56">
        <v>2</v>
      </c>
      <c r="ED56">
        <v>2</v>
      </c>
      <c r="EE56">
        <v>0</v>
      </c>
      <c r="EF56" s="45">
        <v>0</v>
      </c>
      <c r="EG56" s="45">
        <v>282.4</v>
      </c>
      <c r="EH56" s="45">
        <v>282.4</v>
      </c>
      <c r="EI56">
        <v>331</v>
      </c>
      <c r="EJ56">
        <v>158</v>
      </c>
      <c r="EK56">
        <v>71</v>
      </c>
      <c r="EL56">
        <v>560</v>
      </c>
      <c r="EM56" s="45">
        <v>241.16</v>
      </c>
      <c r="EN56" s="45">
        <v>274.18</v>
      </c>
      <c r="EO56" s="45">
        <v>985.52</v>
      </c>
      <c r="EP56">
        <v>1500.86</v>
      </c>
    </row>
    <row r="57" spans="1:146" ht="9">
      <c r="A57" s="68" t="s">
        <v>70</v>
      </c>
      <c r="B57">
        <v>30</v>
      </c>
      <c r="C57">
        <v>200</v>
      </c>
      <c r="D57">
        <v>92</v>
      </c>
      <c r="E57">
        <v>27</v>
      </c>
      <c r="F57">
        <v>319</v>
      </c>
      <c r="G57" s="45">
        <v>48.32</v>
      </c>
      <c r="H57" s="45">
        <v>26.41</v>
      </c>
      <c r="I57" s="45">
        <v>10.24</v>
      </c>
      <c r="J57" s="45">
        <v>84.97</v>
      </c>
      <c r="K57">
        <v>17</v>
      </c>
      <c r="L57">
        <v>8</v>
      </c>
      <c r="M57">
        <v>26</v>
      </c>
      <c r="N57">
        <v>51</v>
      </c>
      <c r="O57" s="45">
        <v>31</v>
      </c>
      <c r="P57" s="45">
        <v>14</v>
      </c>
      <c r="Q57" s="45">
        <v>52.2</v>
      </c>
      <c r="R57" s="45">
        <v>97.2</v>
      </c>
      <c r="S57">
        <v>7</v>
      </c>
      <c r="T57">
        <v>4</v>
      </c>
      <c r="U57">
        <v>10</v>
      </c>
      <c r="V57">
        <v>21</v>
      </c>
      <c r="W57" s="45">
        <v>41.7</v>
      </c>
      <c r="X57" s="45">
        <v>21.9</v>
      </c>
      <c r="Y57" s="45">
        <v>49.4</v>
      </c>
      <c r="Z57" s="45">
        <v>113</v>
      </c>
      <c r="AA57">
        <v>1</v>
      </c>
      <c r="AB57">
        <v>3</v>
      </c>
      <c r="AC57">
        <v>23</v>
      </c>
      <c r="AD57">
        <v>27</v>
      </c>
      <c r="AE57" s="45">
        <v>10.5</v>
      </c>
      <c r="AF57" s="45">
        <v>65.3</v>
      </c>
      <c r="AG57" s="45">
        <v>592.5</v>
      </c>
      <c r="AH57" s="45">
        <v>668.3</v>
      </c>
      <c r="AI57">
        <v>1</v>
      </c>
      <c r="AJ57">
        <v>3</v>
      </c>
      <c r="AK57">
        <v>14</v>
      </c>
      <c r="AL57">
        <v>18</v>
      </c>
      <c r="AM57" s="45">
        <v>38.8</v>
      </c>
      <c r="AN57" s="45">
        <v>52</v>
      </c>
      <c r="AO57" s="45">
        <v>241.3</v>
      </c>
      <c r="AP57" s="45">
        <v>332.1</v>
      </c>
      <c r="AQ57">
        <v>4</v>
      </c>
      <c r="AR57">
        <v>0</v>
      </c>
      <c r="AS57">
        <v>4</v>
      </c>
      <c r="AT57">
        <v>8</v>
      </c>
      <c r="AU57" s="45">
        <v>38.8</v>
      </c>
      <c r="AV57" s="45">
        <v>0</v>
      </c>
      <c r="AW57" s="45">
        <v>71.5</v>
      </c>
      <c r="AX57" s="45">
        <v>110.3</v>
      </c>
      <c r="AY57">
        <v>0</v>
      </c>
      <c r="AZ57">
        <v>0</v>
      </c>
      <c r="BA57">
        <v>1</v>
      </c>
      <c r="BB57">
        <v>1</v>
      </c>
      <c r="BC57" s="45">
        <v>0</v>
      </c>
      <c r="BD57" s="45">
        <v>0</v>
      </c>
      <c r="BE57" s="45">
        <v>31.4</v>
      </c>
      <c r="BF57" s="45">
        <v>31.4</v>
      </c>
      <c r="BG57">
        <v>0</v>
      </c>
      <c r="BH57">
        <v>0</v>
      </c>
      <c r="BI57">
        <v>3</v>
      </c>
      <c r="BJ57">
        <v>3</v>
      </c>
      <c r="BK57" s="45">
        <v>0</v>
      </c>
      <c r="BL57" s="45">
        <v>0</v>
      </c>
      <c r="BM57" s="45">
        <v>308.7</v>
      </c>
      <c r="BN57" s="45">
        <v>308.7</v>
      </c>
      <c r="BO57">
        <v>230</v>
      </c>
      <c r="BP57">
        <v>110</v>
      </c>
      <c r="BQ57">
        <v>108</v>
      </c>
      <c r="BR57">
        <v>448</v>
      </c>
      <c r="BS57" s="45">
        <v>209.12</v>
      </c>
      <c r="BT57" s="45">
        <v>179.61</v>
      </c>
      <c r="BU57" s="45">
        <v>1357.24</v>
      </c>
      <c r="BV57" s="45">
        <v>1745.97</v>
      </c>
      <c r="BW57">
        <v>199</v>
      </c>
      <c r="BX57">
        <v>86</v>
      </c>
      <c r="BY57">
        <v>25</v>
      </c>
      <c r="BZ57">
        <v>310</v>
      </c>
      <c r="CA57" s="45">
        <v>47.43</v>
      </c>
      <c r="CB57" s="45">
        <v>24.76</v>
      </c>
      <c r="CC57" s="45">
        <v>9.27</v>
      </c>
      <c r="CD57" s="45">
        <v>81.46</v>
      </c>
      <c r="CE57">
        <v>17</v>
      </c>
      <c r="CF57">
        <v>8</v>
      </c>
      <c r="CG57">
        <v>24</v>
      </c>
      <c r="CH57">
        <v>49</v>
      </c>
      <c r="CI57" s="45">
        <v>30.6</v>
      </c>
      <c r="CJ57" s="45">
        <v>12.8</v>
      </c>
      <c r="CK57" s="45">
        <v>45.7</v>
      </c>
      <c r="CL57" s="45">
        <v>89.1</v>
      </c>
      <c r="CM57">
        <v>7</v>
      </c>
      <c r="CN57">
        <v>4</v>
      </c>
      <c r="CO57">
        <v>10</v>
      </c>
      <c r="CP57">
        <v>21</v>
      </c>
      <c r="CQ57" s="45">
        <v>41.6</v>
      </c>
      <c r="CR57" s="45">
        <v>19.6</v>
      </c>
      <c r="CS57" s="45">
        <v>44.6</v>
      </c>
      <c r="CT57" s="45">
        <v>105.8</v>
      </c>
      <c r="CU57">
        <v>1</v>
      </c>
      <c r="CV57">
        <v>3</v>
      </c>
      <c r="CW57">
        <v>23</v>
      </c>
      <c r="CX57">
        <v>27</v>
      </c>
      <c r="CY57" s="45">
        <v>10</v>
      </c>
      <c r="CZ57" s="45">
        <v>65.3</v>
      </c>
      <c r="DA57" s="45">
        <v>443.3</v>
      </c>
      <c r="DB57" s="45">
        <v>518.6</v>
      </c>
      <c r="DC57">
        <v>1</v>
      </c>
      <c r="DD57">
        <v>3</v>
      </c>
      <c r="DE57">
        <v>13</v>
      </c>
      <c r="DF57">
        <v>17</v>
      </c>
      <c r="DG57" s="45">
        <v>38.8</v>
      </c>
      <c r="DH57" s="45">
        <v>52</v>
      </c>
      <c r="DI57" s="45">
        <v>223.4</v>
      </c>
      <c r="DJ57" s="45">
        <v>314.2</v>
      </c>
      <c r="DK57">
        <v>3</v>
      </c>
      <c r="DL57">
        <v>0</v>
      </c>
      <c r="DM57">
        <v>2</v>
      </c>
      <c r="DN57">
        <v>5</v>
      </c>
      <c r="DO57" s="45">
        <v>33.2</v>
      </c>
      <c r="DP57" s="45">
        <v>0</v>
      </c>
      <c r="DQ57" s="45">
        <v>22.7</v>
      </c>
      <c r="DR57" s="45">
        <v>55.9</v>
      </c>
      <c r="DS57">
        <v>0</v>
      </c>
      <c r="DT57">
        <v>0</v>
      </c>
      <c r="DU57">
        <v>1</v>
      </c>
      <c r="DV57">
        <v>1</v>
      </c>
      <c r="DW57" s="45">
        <v>0</v>
      </c>
      <c r="DX57" s="45">
        <v>0</v>
      </c>
      <c r="DY57" s="45">
        <v>29.3</v>
      </c>
      <c r="DZ57" s="45">
        <v>29.3</v>
      </c>
      <c r="EA57">
        <v>0</v>
      </c>
      <c r="EB57">
        <v>0</v>
      </c>
      <c r="EC57">
        <v>3</v>
      </c>
      <c r="ED57">
        <v>3</v>
      </c>
      <c r="EE57">
        <v>0</v>
      </c>
      <c r="EF57" s="45">
        <v>0</v>
      </c>
      <c r="EG57" s="45">
        <v>164.2</v>
      </c>
      <c r="EH57" s="45">
        <v>164.2</v>
      </c>
      <c r="EI57">
        <v>228</v>
      </c>
      <c r="EJ57">
        <v>104</v>
      </c>
      <c r="EK57">
        <v>101</v>
      </c>
      <c r="EL57">
        <v>433</v>
      </c>
      <c r="EM57" s="45">
        <v>201.63</v>
      </c>
      <c r="EN57" s="45">
        <v>174.46</v>
      </c>
      <c r="EO57" s="45">
        <v>982.47</v>
      </c>
      <c r="EP57">
        <v>1358.56</v>
      </c>
    </row>
    <row r="58" spans="1:146" ht="9">
      <c r="A58" s="50" t="s">
        <v>103</v>
      </c>
      <c r="B58" s="70">
        <v>162</v>
      </c>
      <c r="C58" s="70">
        <v>2727</v>
      </c>
      <c r="D58" s="70">
        <v>797</v>
      </c>
      <c r="E58" s="70">
        <v>236</v>
      </c>
      <c r="F58" s="70">
        <v>3760</v>
      </c>
      <c r="G58" s="71">
        <v>614.86</v>
      </c>
      <c r="H58" s="71">
        <v>192.19</v>
      </c>
      <c r="I58" s="71">
        <v>74.38</v>
      </c>
      <c r="J58" s="71">
        <v>881.43</v>
      </c>
      <c r="K58" s="70">
        <v>273</v>
      </c>
      <c r="L58" s="70">
        <v>141</v>
      </c>
      <c r="M58" s="70">
        <v>120</v>
      </c>
      <c r="N58" s="70">
        <v>534</v>
      </c>
      <c r="O58" s="71">
        <v>519.5</v>
      </c>
      <c r="P58" s="71">
        <v>270.7</v>
      </c>
      <c r="Q58" s="71">
        <v>279.36</v>
      </c>
      <c r="R58" s="71">
        <v>1069.56</v>
      </c>
      <c r="S58" s="70">
        <v>37</v>
      </c>
      <c r="T58" s="70">
        <v>29</v>
      </c>
      <c r="U58" s="70">
        <v>63</v>
      </c>
      <c r="V58" s="70">
        <v>129</v>
      </c>
      <c r="W58" s="71">
        <v>210.1</v>
      </c>
      <c r="X58" s="71">
        <v>175</v>
      </c>
      <c r="Y58" s="71">
        <v>360.6</v>
      </c>
      <c r="Z58" s="71">
        <v>745.7</v>
      </c>
      <c r="AA58" s="70">
        <v>40</v>
      </c>
      <c r="AB58" s="70">
        <v>38</v>
      </c>
      <c r="AC58" s="70">
        <v>83</v>
      </c>
      <c r="AD58" s="70">
        <v>161</v>
      </c>
      <c r="AE58" s="71">
        <v>807.8</v>
      </c>
      <c r="AF58" s="71">
        <v>731.4</v>
      </c>
      <c r="AG58" s="71">
        <v>2738.3</v>
      </c>
      <c r="AH58" s="71">
        <v>4277.5</v>
      </c>
      <c r="AI58" s="70">
        <v>18</v>
      </c>
      <c r="AJ58" s="70">
        <v>26</v>
      </c>
      <c r="AK58" s="70">
        <v>38</v>
      </c>
      <c r="AL58" s="70">
        <v>82</v>
      </c>
      <c r="AM58" s="71">
        <v>346.5</v>
      </c>
      <c r="AN58" s="71">
        <v>474.7</v>
      </c>
      <c r="AO58" s="71">
        <v>916.5</v>
      </c>
      <c r="AP58" s="71">
        <v>1737.7</v>
      </c>
      <c r="AQ58" s="70">
        <v>17</v>
      </c>
      <c r="AR58" s="70">
        <v>11</v>
      </c>
      <c r="AS58" s="70">
        <v>44</v>
      </c>
      <c r="AT58" s="70">
        <v>72</v>
      </c>
      <c r="AU58" s="71">
        <v>304.2</v>
      </c>
      <c r="AV58" s="71">
        <v>190</v>
      </c>
      <c r="AW58" s="71">
        <v>1111.7</v>
      </c>
      <c r="AX58" s="71">
        <v>1605.9</v>
      </c>
      <c r="AY58" s="70">
        <v>17</v>
      </c>
      <c r="AZ58" s="70">
        <v>6</v>
      </c>
      <c r="BA58" s="70">
        <v>17</v>
      </c>
      <c r="BB58" s="70">
        <v>40</v>
      </c>
      <c r="BC58" s="71">
        <v>87.2</v>
      </c>
      <c r="BD58" s="71">
        <v>17</v>
      </c>
      <c r="BE58" s="71">
        <v>205.5</v>
      </c>
      <c r="BF58" s="71">
        <v>309.7</v>
      </c>
      <c r="BG58" s="70">
        <v>1</v>
      </c>
      <c r="BH58" s="70">
        <v>1</v>
      </c>
      <c r="BI58" s="70">
        <v>18</v>
      </c>
      <c r="BJ58" s="70">
        <v>20</v>
      </c>
      <c r="BK58" s="71">
        <v>126.9</v>
      </c>
      <c r="BL58" s="71">
        <v>2.5</v>
      </c>
      <c r="BM58" s="71">
        <v>2570.1</v>
      </c>
      <c r="BN58" s="71">
        <v>2699.5</v>
      </c>
      <c r="BO58" s="70">
        <v>3130</v>
      </c>
      <c r="BP58" s="70">
        <v>1049</v>
      </c>
      <c r="BQ58" s="70">
        <v>619</v>
      </c>
      <c r="BR58" s="70">
        <v>4798</v>
      </c>
      <c r="BS58" s="71">
        <v>3017.06</v>
      </c>
      <c r="BT58" s="71">
        <v>2053.49</v>
      </c>
      <c r="BU58" s="71">
        <v>8256.44</v>
      </c>
      <c r="BV58" s="71">
        <v>13326.99</v>
      </c>
      <c r="BW58" s="70">
        <v>2651</v>
      </c>
      <c r="BX58" s="70">
        <v>761</v>
      </c>
      <c r="BY58" s="70">
        <v>227</v>
      </c>
      <c r="BZ58" s="70">
        <v>3639</v>
      </c>
      <c r="CA58" s="71">
        <v>583.37</v>
      </c>
      <c r="CB58" s="71">
        <v>181.99</v>
      </c>
      <c r="CC58" s="71">
        <v>71.83</v>
      </c>
      <c r="CD58" s="71">
        <v>837.19</v>
      </c>
      <c r="CE58" s="70">
        <v>256</v>
      </c>
      <c r="CF58" s="70">
        <v>123</v>
      </c>
      <c r="CG58" s="70">
        <v>114</v>
      </c>
      <c r="CH58" s="70">
        <v>493</v>
      </c>
      <c r="CI58" s="71">
        <v>443.4</v>
      </c>
      <c r="CJ58" s="71">
        <v>221.5</v>
      </c>
      <c r="CK58" s="71">
        <v>227</v>
      </c>
      <c r="CL58" s="71">
        <v>891.9</v>
      </c>
      <c r="CM58" s="70">
        <v>37</v>
      </c>
      <c r="CN58" s="70">
        <v>27</v>
      </c>
      <c r="CO58" s="70">
        <v>60</v>
      </c>
      <c r="CP58" s="70">
        <v>124</v>
      </c>
      <c r="CQ58" s="71">
        <v>201</v>
      </c>
      <c r="CR58" s="71">
        <v>148.2</v>
      </c>
      <c r="CS58" s="71">
        <v>314.2</v>
      </c>
      <c r="CT58" s="71">
        <v>663.4</v>
      </c>
      <c r="CU58" s="70">
        <v>38</v>
      </c>
      <c r="CV58" s="70">
        <v>34</v>
      </c>
      <c r="CW58" s="70">
        <v>80</v>
      </c>
      <c r="CX58" s="70">
        <v>152</v>
      </c>
      <c r="CY58" s="71">
        <v>697.1</v>
      </c>
      <c r="CZ58" s="71">
        <v>566.3</v>
      </c>
      <c r="DA58" s="71">
        <v>1689</v>
      </c>
      <c r="DB58" s="71">
        <v>2952.4</v>
      </c>
      <c r="DC58" s="70">
        <v>17</v>
      </c>
      <c r="DD58" s="70">
        <v>22</v>
      </c>
      <c r="DE58" s="70">
        <v>34</v>
      </c>
      <c r="DF58" s="70">
        <v>73</v>
      </c>
      <c r="DG58" s="71">
        <v>285.9</v>
      </c>
      <c r="DH58" s="71">
        <v>393.6</v>
      </c>
      <c r="DI58" s="71">
        <v>735.2</v>
      </c>
      <c r="DJ58" s="71">
        <v>1414.7</v>
      </c>
      <c r="DK58" s="70">
        <v>16</v>
      </c>
      <c r="DL58" s="70">
        <v>10</v>
      </c>
      <c r="DM58" s="70">
        <v>37</v>
      </c>
      <c r="DN58" s="70">
        <v>63</v>
      </c>
      <c r="DO58" s="71">
        <v>177.7</v>
      </c>
      <c r="DP58" s="71">
        <v>51.1</v>
      </c>
      <c r="DQ58" s="71">
        <v>671.2</v>
      </c>
      <c r="DR58" s="71">
        <v>900</v>
      </c>
      <c r="DS58" s="70">
        <v>14</v>
      </c>
      <c r="DT58" s="70">
        <v>5</v>
      </c>
      <c r="DU58" s="70">
        <v>14</v>
      </c>
      <c r="DV58" s="70">
        <v>33</v>
      </c>
      <c r="DW58" s="71">
        <v>43.9</v>
      </c>
      <c r="DX58" s="71">
        <v>14.71</v>
      </c>
      <c r="DY58" s="71">
        <v>182.7</v>
      </c>
      <c r="DZ58" s="71">
        <v>241.31</v>
      </c>
      <c r="EA58" s="70">
        <v>1</v>
      </c>
      <c r="EB58" s="70">
        <v>1</v>
      </c>
      <c r="EC58" s="70">
        <v>18</v>
      </c>
      <c r="ED58" s="70">
        <v>20</v>
      </c>
      <c r="EE58" s="70">
        <v>125.4</v>
      </c>
      <c r="EF58" s="71">
        <v>2.5</v>
      </c>
      <c r="EG58" s="71">
        <v>1358.9</v>
      </c>
      <c r="EH58" s="71">
        <v>1486.8</v>
      </c>
      <c r="EI58" s="70">
        <v>3030</v>
      </c>
      <c r="EJ58" s="70">
        <v>983</v>
      </c>
      <c r="EK58" s="70">
        <v>584</v>
      </c>
      <c r="EL58" s="70">
        <v>4597</v>
      </c>
      <c r="EM58" s="71">
        <v>2557.77</v>
      </c>
      <c r="EN58" s="71">
        <v>1579.9</v>
      </c>
      <c r="EO58" s="71">
        <v>5250.03</v>
      </c>
      <c r="EP58" s="70">
        <v>9387.7</v>
      </c>
    </row>
    <row r="59" spans="1:146" ht="9">
      <c r="A59" s="72" t="s">
        <v>105</v>
      </c>
      <c r="B59">
        <v>21</v>
      </c>
      <c r="C59">
        <v>285</v>
      </c>
      <c r="D59">
        <v>70</v>
      </c>
      <c r="E59">
        <v>32</v>
      </c>
      <c r="F59">
        <v>387</v>
      </c>
      <c r="G59" s="45">
        <v>65.68</v>
      </c>
      <c r="H59" s="45">
        <v>19.36</v>
      </c>
      <c r="I59" s="45">
        <v>10.07</v>
      </c>
      <c r="J59" s="45">
        <v>95.11</v>
      </c>
      <c r="K59">
        <v>46</v>
      </c>
      <c r="L59">
        <v>27</v>
      </c>
      <c r="M59">
        <v>12</v>
      </c>
      <c r="N59">
        <v>85</v>
      </c>
      <c r="O59" s="45">
        <v>99.8</v>
      </c>
      <c r="P59" s="45">
        <v>71.6</v>
      </c>
      <c r="Q59" s="45">
        <v>22.8</v>
      </c>
      <c r="R59" s="45">
        <v>194.2</v>
      </c>
      <c r="S59">
        <v>11</v>
      </c>
      <c r="T59">
        <v>3</v>
      </c>
      <c r="U59">
        <v>12</v>
      </c>
      <c r="V59">
        <v>26</v>
      </c>
      <c r="W59" s="45">
        <v>53.4</v>
      </c>
      <c r="X59" s="45">
        <v>17.9</v>
      </c>
      <c r="Y59" s="45">
        <v>68.4</v>
      </c>
      <c r="Z59" s="45">
        <v>139.7</v>
      </c>
      <c r="AA59">
        <v>11</v>
      </c>
      <c r="AB59">
        <v>2</v>
      </c>
      <c r="AC59">
        <v>12</v>
      </c>
      <c r="AD59">
        <v>25</v>
      </c>
      <c r="AE59" s="45">
        <v>184</v>
      </c>
      <c r="AF59" s="45">
        <v>27.6</v>
      </c>
      <c r="AG59" s="45">
        <v>251.3</v>
      </c>
      <c r="AH59" s="45">
        <v>462.9</v>
      </c>
      <c r="AI59">
        <v>6</v>
      </c>
      <c r="AJ59">
        <v>3</v>
      </c>
      <c r="AK59">
        <v>2</v>
      </c>
      <c r="AL59">
        <v>11</v>
      </c>
      <c r="AM59" s="45">
        <v>133.8</v>
      </c>
      <c r="AN59" s="45">
        <v>55.6</v>
      </c>
      <c r="AO59" s="45">
        <v>40.5</v>
      </c>
      <c r="AP59" s="45">
        <v>229.9</v>
      </c>
      <c r="AQ59">
        <v>0</v>
      </c>
      <c r="AR59">
        <v>1</v>
      </c>
      <c r="AS59">
        <v>2</v>
      </c>
      <c r="AT59">
        <v>3</v>
      </c>
      <c r="AU59" s="45">
        <v>0</v>
      </c>
      <c r="AV59" s="45">
        <v>25.1</v>
      </c>
      <c r="AW59" s="45">
        <v>33.4</v>
      </c>
      <c r="AX59" s="45">
        <v>58.5</v>
      </c>
      <c r="AY59">
        <v>0</v>
      </c>
      <c r="AZ59">
        <v>0</v>
      </c>
      <c r="BA59">
        <v>2</v>
      </c>
      <c r="BB59">
        <v>2</v>
      </c>
      <c r="BC59" s="45">
        <v>0</v>
      </c>
      <c r="BD59" s="45">
        <v>0</v>
      </c>
      <c r="BE59" s="45">
        <v>289.9</v>
      </c>
      <c r="BF59" s="45">
        <v>289.9</v>
      </c>
      <c r="BG59">
        <v>1</v>
      </c>
      <c r="BH59">
        <v>0</v>
      </c>
      <c r="BI59">
        <v>6</v>
      </c>
      <c r="BJ59">
        <v>7</v>
      </c>
      <c r="BK59" s="45">
        <v>71.1</v>
      </c>
      <c r="BL59" s="45">
        <v>0</v>
      </c>
      <c r="BM59" s="45">
        <v>585.3</v>
      </c>
      <c r="BN59" s="45">
        <v>656.4</v>
      </c>
      <c r="BO59">
        <v>360</v>
      </c>
      <c r="BP59">
        <v>106</v>
      </c>
      <c r="BQ59">
        <v>80</v>
      </c>
      <c r="BR59">
        <v>546</v>
      </c>
      <c r="BS59" s="45">
        <v>607.78</v>
      </c>
      <c r="BT59" s="45">
        <v>217.16</v>
      </c>
      <c r="BU59" s="45">
        <v>1301.67</v>
      </c>
      <c r="BV59" s="45">
        <v>2126.61</v>
      </c>
      <c r="BW59">
        <v>246</v>
      </c>
      <c r="BX59">
        <v>52</v>
      </c>
      <c r="BY59">
        <v>27</v>
      </c>
      <c r="BZ59">
        <v>325</v>
      </c>
      <c r="CA59" s="45">
        <v>54.14</v>
      </c>
      <c r="CB59" s="45">
        <v>13.46</v>
      </c>
      <c r="CC59" s="45">
        <v>8.44</v>
      </c>
      <c r="CD59" s="45">
        <v>76.04</v>
      </c>
      <c r="CE59">
        <v>38</v>
      </c>
      <c r="CF59">
        <v>21</v>
      </c>
      <c r="CG59">
        <v>10</v>
      </c>
      <c r="CH59">
        <v>69</v>
      </c>
      <c r="CI59" s="45">
        <v>69.8</v>
      </c>
      <c r="CJ59" s="45">
        <v>46.7</v>
      </c>
      <c r="CK59" s="45">
        <v>16</v>
      </c>
      <c r="CL59" s="45">
        <v>132.5</v>
      </c>
      <c r="CM59">
        <v>10</v>
      </c>
      <c r="CN59">
        <v>2</v>
      </c>
      <c r="CO59">
        <v>12</v>
      </c>
      <c r="CP59">
        <v>24</v>
      </c>
      <c r="CQ59" s="45">
        <v>38.2</v>
      </c>
      <c r="CR59" s="45">
        <v>10.3</v>
      </c>
      <c r="CS59" s="45">
        <v>59.8</v>
      </c>
      <c r="CT59" s="45">
        <v>108.3</v>
      </c>
      <c r="CU59">
        <v>11</v>
      </c>
      <c r="CV59">
        <v>2</v>
      </c>
      <c r="CW59">
        <v>10</v>
      </c>
      <c r="CX59">
        <v>23</v>
      </c>
      <c r="CY59" s="45">
        <v>137.9</v>
      </c>
      <c r="CZ59" s="45">
        <v>20.9</v>
      </c>
      <c r="DA59" s="45">
        <v>107.1</v>
      </c>
      <c r="DB59" s="45">
        <v>265.9</v>
      </c>
      <c r="DC59">
        <v>6</v>
      </c>
      <c r="DD59">
        <v>3</v>
      </c>
      <c r="DE59">
        <v>2</v>
      </c>
      <c r="DF59">
        <v>11</v>
      </c>
      <c r="DG59" s="45">
        <v>115.5</v>
      </c>
      <c r="DH59" s="45">
        <v>50.6</v>
      </c>
      <c r="DI59" s="45">
        <v>33.6</v>
      </c>
      <c r="DJ59" s="45">
        <v>199.7</v>
      </c>
      <c r="DK59">
        <v>0</v>
      </c>
      <c r="DL59">
        <v>0</v>
      </c>
      <c r="DM59">
        <v>2</v>
      </c>
      <c r="DN59">
        <v>2</v>
      </c>
      <c r="DO59" s="45">
        <v>0</v>
      </c>
      <c r="DP59" s="45">
        <v>0</v>
      </c>
      <c r="DQ59" s="45">
        <v>24.7</v>
      </c>
      <c r="DR59" s="45">
        <v>24.7</v>
      </c>
      <c r="DS59">
        <v>0</v>
      </c>
      <c r="DT59">
        <v>0</v>
      </c>
      <c r="DU59">
        <v>2</v>
      </c>
      <c r="DV59">
        <v>2</v>
      </c>
      <c r="DW59" s="45">
        <v>0</v>
      </c>
      <c r="DX59" s="45">
        <v>0</v>
      </c>
      <c r="DY59" s="45">
        <v>15.3</v>
      </c>
      <c r="DZ59" s="45">
        <v>15.3</v>
      </c>
      <c r="EA59">
        <v>1</v>
      </c>
      <c r="EB59">
        <v>0</v>
      </c>
      <c r="EC59">
        <v>7</v>
      </c>
      <c r="ED59">
        <v>8</v>
      </c>
      <c r="EE59">
        <v>59</v>
      </c>
      <c r="EF59" s="45">
        <v>0</v>
      </c>
      <c r="EG59">
        <v>392.1</v>
      </c>
      <c r="EH59">
        <v>451.1</v>
      </c>
      <c r="EI59">
        <v>312</v>
      </c>
      <c r="EJ59">
        <v>80</v>
      </c>
      <c r="EK59">
        <v>72</v>
      </c>
      <c r="EL59">
        <v>464</v>
      </c>
      <c r="EM59" s="45">
        <v>474.54</v>
      </c>
      <c r="EN59" s="45">
        <v>141.96</v>
      </c>
      <c r="EO59" s="45">
        <v>657.04</v>
      </c>
      <c r="EP59">
        <v>1273.54</v>
      </c>
    </row>
    <row r="60" spans="1:146" ht="9">
      <c r="A60" s="72" t="s">
        <v>108</v>
      </c>
      <c r="B60">
        <v>21</v>
      </c>
      <c r="C60">
        <v>285</v>
      </c>
      <c r="D60">
        <v>70</v>
      </c>
      <c r="E60">
        <v>32</v>
      </c>
      <c r="F60">
        <v>387</v>
      </c>
      <c r="G60" s="45">
        <v>65.68</v>
      </c>
      <c r="H60" s="45">
        <v>19.36</v>
      </c>
      <c r="I60" s="45">
        <v>10.07</v>
      </c>
      <c r="J60" s="45">
        <v>95.11</v>
      </c>
      <c r="K60">
        <v>46</v>
      </c>
      <c r="L60">
        <v>27</v>
      </c>
      <c r="M60">
        <v>12</v>
      </c>
      <c r="N60">
        <v>85</v>
      </c>
      <c r="O60" s="45">
        <v>99.8</v>
      </c>
      <c r="P60" s="45">
        <v>71.6</v>
      </c>
      <c r="Q60" s="45">
        <v>22.8</v>
      </c>
      <c r="R60" s="45">
        <v>194.2</v>
      </c>
      <c r="S60">
        <v>11</v>
      </c>
      <c r="T60">
        <v>3</v>
      </c>
      <c r="U60">
        <v>12</v>
      </c>
      <c r="V60">
        <v>26</v>
      </c>
      <c r="W60" s="45">
        <v>53.4</v>
      </c>
      <c r="X60" s="45">
        <v>17.9</v>
      </c>
      <c r="Y60" s="45">
        <v>68.4</v>
      </c>
      <c r="Z60" s="45">
        <v>139.7</v>
      </c>
      <c r="AA60">
        <v>11</v>
      </c>
      <c r="AB60">
        <v>2</v>
      </c>
      <c r="AC60">
        <v>12</v>
      </c>
      <c r="AD60">
        <v>25</v>
      </c>
      <c r="AE60" s="45">
        <v>184</v>
      </c>
      <c r="AF60" s="45">
        <v>27.6</v>
      </c>
      <c r="AG60" s="45">
        <v>251.3</v>
      </c>
      <c r="AH60" s="45">
        <v>462.9</v>
      </c>
      <c r="AI60">
        <v>6</v>
      </c>
      <c r="AJ60">
        <v>3</v>
      </c>
      <c r="AK60">
        <v>2</v>
      </c>
      <c r="AL60">
        <v>11</v>
      </c>
      <c r="AM60" s="45">
        <v>133.8</v>
      </c>
      <c r="AN60" s="45">
        <v>55.6</v>
      </c>
      <c r="AO60" s="45">
        <v>40.5</v>
      </c>
      <c r="AP60" s="45">
        <v>229.9</v>
      </c>
      <c r="AQ60">
        <v>0</v>
      </c>
      <c r="AR60">
        <v>1</v>
      </c>
      <c r="AS60">
        <v>2</v>
      </c>
      <c r="AT60">
        <v>3</v>
      </c>
      <c r="AU60" s="45">
        <v>0</v>
      </c>
      <c r="AV60" s="45">
        <v>25.1</v>
      </c>
      <c r="AW60" s="45">
        <v>33.4</v>
      </c>
      <c r="AX60" s="45">
        <v>58.5</v>
      </c>
      <c r="AY60">
        <v>0</v>
      </c>
      <c r="AZ60">
        <v>0</v>
      </c>
      <c r="BA60">
        <v>2</v>
      </c>
      <c r="BB60">
        <v>2</v>
      </c>
      <c r="BC60" s="45">
        <v>0</v>
      </c>
      <c r="BD60" s="45">
        <v>0</v>
      </c>
      <c r="BE60" s="45">
        <v>289.9</v>
      </c>
      <c r="BF60" s="45">
        <v>289.9</v>
      </c>
      <c r="BG60">
        <v>1</v>
      </c>
      <c r="BH60">
        <v>0</v>
      </c>
      <c r="BI60">
        <v>6</v>
      </c>
      <c r="BJ60">
        <v>7</v>
      </c>
      <c r="BK60" s="45">
        <v>71.1</v>
      </c>
      <c r="BL60" s="45">
        <v>0</v>
      </c>
      <c r="BM60" s="45">
        <v>585.3</v>
      </c>
      <c r="BN60" s="45">
        <v>656.4</v>
      </c>
      <c r="BO60">
        <v>360</v>
      </c>
      <c r="BP60">
        <v>106</v>
      </c>
      <c r="BQ60">
        <v>80</v>
      </c>
      <c r="BR60">
        <v>546</v>
      </c>
      <c r="BS60" s="45">
        <v>607.78</v>
      </c>
      <c r="BT60" s="45">
        <v>217.16</v>
      </c>
      <c r="BU60" s="45">
        <v>1301.67</v>
      </c>
      <c r="BV60" s="45">
        <v>2126.61</v>
      </c>
      <c r="BW60">
        <v>246</v>
      </c>
      <c r="BX60">
        <v>52</v>
      </c>
      <c r="BY60">
        <v>27</v>
      </c>
      <c r="BZ60">
        <v>325</v>
      </c>
      <c r="CA60" s="45">
        <v>54.14</v>
      </c>
      <c r="CB60" s="45">
        <v>13.46</v>
      </c>
      <c r="CC60" s="45">
        <v>8.44</v>
      </c>
      <c r="CD60" s="45">
        <v>76.04</v>
      </c>
      <c r="CE60">
        <v>38</v>
      </c>
      <c r="CF60">
        <v>21</v>
      </c>
      <c r="CG60">
        <v>10</v>
      </c>
      <c r="CH60">
        <v>69</v>
      </c>
      <c r="CI60" s="45">
        <v>69.8</v>
      </c>
      <c r="CJ60" s="45">
        <v>46.7</v>
      </c>
      <c r="CK60" s="45">
        <v>16</v>
      </c>
      <c r="CL60" s="45">
        <v>132.5</v>
      </c>
      <c r="CM60">
        <v>10</v>
      </c>
      <c r="CN60">
        <v>2</v>
      </c>
      <c r="CO60">
        <v>12</v>
      </c>
      <c r="CP60">
        <v>24</v>
      </c>
      <c r="CQ60" s="45">
        <v>38.2</v>
      </c>
      <c r="CR60" s="45">
        <v>10.3</v>
      </c>
      <c r="CS60" s="45">
        <v>59.8</v>
      </c>
      <c r="CT60" s="45">
        <v>108.3</v>
      </c>
      <c r="CU60">
        <v>11</v>
      </c>
      <c r="CV60">
        <v>2</v>
      </c>
      <c r="CW60">
        <v>10</v>
      </c>
      <c r="CX60">
        <v>23</v>
      </c>
      <c r="CY60" s="45">
        <v>137.9</v>
      </c>
      <c r="CZ60" s="45">
        <v>20.9</v>
      </c>
      <c r="DA60" s="45">
        <v>107.1</v>
      </c>
      <c r="DB60" s="45">
        <v>265.9</v>
      </c>
      <c r="DC60">
        <v>6</v>
      </c>
      <c r="DD60">
        <v>3</v>
      </c>
      <c r="DE60">
        <v>2</v>
      </c>
      <c r="DF60">
        <v>11</v>
      </c>
      <c r="DG60" s="45">
        <v>115.5</v>
      </c>
      <c r="DH60" s="45">
        <v>50.6</v>
      </c>
      <c r="DI60" s="45">
        <v>33.6</v>
      </c>
      <c r="DJ60" s="45">
        <v>199.7</v>
      </c>
      <c r="DK60">
        <v>0</v>
      </c>
      <c r="DL60">
        <v>0</v>
      </c>
      <c r="DM60">
        <v>2</v>
      </c>
      <c r="DN60">
        <v>2</v>
      </c>
      <c r="DO60" s="45">
        <v>0</v>
      </c>
      <c r="DP60" s="45">
        <v>0</v>
      </c>
      <c r="DQ60" s="45">
        <v>24.7</v>
      </c>
      <c r="DR60" s="45">
        <v>24.7</v>
      </c>
      <c r="DS60">
        <v>0</v>
      </c>
      <c r="DT60">
        <v>0</v>
      </c>
      <c r="DU60">
        <v>2</v>
      </c>
      <c r="DV60">
        <v>2</v>
      </c>
      <c r="DW60" s="45">
        <v>0</v>
      </c>
      <c r="DX60" s="45">
        <v>0</v>
      </c>
      <c r="DY60" s="45">
        <v>15.3</v>
      </c>
      <c r="DZ60" s="45">
        <v>15.3</v>
      </c>
      <c r="EA60">
        <v>1</v>
      </c>
      <c r="EB60">
        <v>0</v>
      </c>
      <c r="EC60">
        <v>7</v>
      </c>
      <c r="ED60">
        <v>8</v>
      </c>
      <c r="EE60">
        <v>59</v>
      </c>
      <c r="EF60" s="45">
        <v>0</v>
      </c>
      <c r="EG60">
        <v>392.1</v>
      </c>
      <c r="EH60">
        <v>451.1</v>
      </c>
      <c r="EI60">
        <v>312</v>
      </c>
      <c r="EJ60">
        <v>80</v>
      </c>
      <c r="EK60">
        <v>72</v>
      </c>
      <c r="EL60">
        <v>464</v>
      </c>
      <c r="EM60" s="45">
        <v>474.54</v>
      </c>
      <c r="EN60" s="45">
        <v>141.96</v>
      </c>
      <c r="EO60" s="45">
        <v>657.04</v>
      </c>
      <c r="EP60">
        <v>1273.54</v>
      </c>
    </row>
    <row r="61" spans="1:146" ht="9">
      <c r="A61" s="72" t="s">
        <v>106</v>
      </c>
      <c r="B61">
        <f>B4+B12+B22+B26+B31+B39+B45+B50+B58+B59</f>
        <v>1259</v>
      </c>
      <c r="C61">
        <f aca="true" t="shared" si="0" ref="C61:BN61">C4+C12+C22+C26+C31+C39+C45+C50+C58+C59</f>
        <v>24293</v>
      </c>
      <c r="D61">
        <f t="shared" si="0"/>
        <v>6020</v>
      </c>
      <c r="E61">
        <f t="shared" si="0"/>
        <v>1407</v>
      </c>
      <c r="F61">
        <f t="shared" si="0"/>
        <v>31720</v>
      </c>
      <c r="G61">
        <f t="shared" si="0"/>
        <v>5877.78</v>
      </c>
      <c r="H61">
        <f t="shared" si="0"/>
        <v>1530.58</v>
      </c>
      <c r="I61">
        <f t="shared" si="0"/>
        <v>392.10999999999996</v>
      </c>
      <c r="J61">
        <f t="shared" si="0"/>
        <v>7800.47</v>
      </c>
      <c r="K61">
        <f t="shared" si="0"/>
        <v>2928</v>
      </c>
      <c r="L61">
        <f t="shared" si="0"/>
        <v>1184</v>
      </c>
      <c r="M61">
        <f t="shared" si="0"/>
        <v>504</v>
      </c>
      <c r="N61">
        <f t="shared" si="0"/>
        <v>4616</v>
      </c>
      <c r="O61">
        <f t="shared" si="0"/>
        <v>5458.4</v>
      </c>
      <c r="P61">
        <f t="shared" si="0"/>
        <v>2481.4599999999996</v>
      </c>
      <c r="Q61">
        <f t="shared" si="0"/>
        <v>1141.4999999999998</v>
      </c>
      <c r="R61">
        <f t="shared" si="0"/>
        <v>9081.36</v>
      </c>
      <c r="S61">
        <f>S4+S12+S22+S26+S31+S39+S45+S50+S58+S59</f>
        <v>531</v>
      </c>
      <c r="T61">
        <f t="shared" si="0"/>
        <v>284</v>
      </c>
      <c r="U61">
        <f t="shared" si="0"/>
        <v>419</v>
      </c>
      <c r="V61">
        <f t="shared" si="0"/>
        <v>1234</v>
      </c>
      <c r="W61">
        <f t="shared" si="0"/>
        <v>2865</v>
      </c>
      <c r="X61">
        <f t="shared" si="0"/>
        <v>1651.9000000000003</v>
      </c>
      <c r="Y61">
        <f t="shared" si="0"/>
        <v>2571.3500000000004</v>
      </c>
      <c r="Z61">
        <f t="shared" si="0"/>
        <v>7088.25</v>
      </c>
      <c r="AA61">
        <f t="shared" si="0"/>
        <v>362</v>
      </c>
      <c r="AB61">
        <f t="shared" si="0"/>
        <v>227</v>
      </c>
      <c r="AC61">
        <f t="shared" si="0"/>
        <v>685</v>
      </c>
      <c r="AD61">
        <f t="shared" si="0"/>
        <v>1274</v>
      </c>
      <c r="AE61">
        <f t="shared" si="0"/>
        <v>7727.1</v>
      </c>
      <c r="AF61">
        <f t="shared" si="0"/>
        <v>5452.8</v>
      </c>
      <c r="AG61">
        <f t="shared" si="0"/>
        <v>21767.199999999997</v>
      </c>
      <c r="AH61">
        <f t="shared" si="0"/>
        <v>34947.100000000006</v>
      </c>
      <c r="AI61">
        <f t="shared" si="0"/>
        <v>202</v>
      </c>
      <c r="AJ61">
        <f t="shared" si="0"/>
        <v>99</v>
      </c>
      <c r="AK61">
        <f t="shared" si="0"/>
        <v>325</v>
      </c>
      <c r="AL61">
        <f t="shared" si="0"/>
        <v>626</v>
      </c>
      <c r="AM61">
        <f t="shared" si="0"/>
        <v>3135.8</v>
      </c>
      <c r="AN61">
        <f t="shared" si="0"/>
        <v>1909.6999999999998</v>
      </c>
      <c r="AO61">
        <f t="shared" si="0"/>
        <v>7288.88</v>
      </c>
      <c r="AP61">
        <f t="shared" si="0"/>
        <v>12334.380000000001</v>
      </c>
      <c r="AQ61">
        <f t="shared" si="0"/>
        <v>104</v>
      </c>
      <c r="AR61">
        <f t="shared" si="0"/>
        <v>52</v>
      </c>
      <c r="AS61">
        <f t="shared" si="0"/>
        <v>248</v>
      </c>
      <c r="AT61">
        <f t="shared" si="0"/>
        <v>404</v>
      </c>
      <c r="AU61">
        <f t="shared" si="0"/>
        <v>1460.5</v>
      </c>
      <c r="AV61">
        <f t="shared" si="0"/>
        <v>852.6999999999999</v>
      </c>
      <c r="AW61">
        <f t="shared" si="0"/>
        <v>7929.200000000001</v>
      </c>
      <c r="AX61">
        <f t="shared" si="0"/>
        <v>10242.4</v>
      </c>
      <c r="AY61">
        <f t="shared" si="0"/>
        <v>149</v>
      </c>
      <c r="AZ61">
        <f t="shared" si="0"/>
        <v>40</v>
      </c>
      <c r="BA61">
        <f t="shared" si="0"/>
        <v>94</v>
      </c>
      <c r="BB61">
        <f t="shared" si="0"/>
        <v>283</v>
      </c>
      <c r="BC61">
        <f t="shared" si="0"/>
        <v>1119.15</v>
      </c>
      <c r="BD61">
        <f t="shared" si="0"/>
        <v>151.39999999999998</v>
      </c>
      <c r="BE61">
        <f t="shared" si="0"/>
        <v>2306.7000000000003</v>
      </c>
      <c r="BF61">
        <f t="shared" si="0"/>
        <v>3577.25</v>
      </c>
      <c r="BG61">
        <f t="shared" si="0"/>
        <v>22</v>
      </c>
      <c r="BH61">
        <f t="shared" si="0"/>
        <v>11</v>
      </c>
      <c r="BI61">
        <f t="shared" si="0"/>
        <v>179</v>
      </c>
      <c r="BJ61">
        <f t="shared" si="0"/>
        <v>212</v>
      </c>
      <c r="BK61">
        <f t="shared" si="0"/>
        <v>1873.4</v>
      </c>
      <c r="BL61">
        <f t="shared" si="0"/>
        <v>1023.1999999999999</v>
      </c>
      <c r="BM61">
        <f t="shared" si="0"/>
        <v>23496.199999999997</v>
      </c>
      <c r="BN61">
        <f t="shared" si="0"/>
        <v>26392.800000000003</v>
      </c>
      <c r="BO61">
        <f aca="true" t="shared" si="1" ref="BO61:DZ61">BO4+BO12+BO22+BO26+BO31+BO39+BO45+BO50+BO58+BO59</f>
        <v>28591</v>
      </c>
      <c r="BP61">
        <f t="shared" si="1"/>
        <v>7917</v>
      </c>
      <c r="BQ61">
        <f t="shared" si="1"/>
        <v>3861</v>
      </c>
      <c r="BR61">
        <f t="shared" si="1"/>
        <v>40369</v>
      </c>
      <c r="BS61">
        <f t="shared" si="1"/>
        <v>29517.129999999997</v>
      </c>
      <c r="BT61">
        <f t="shared" si="1"/>
        <v>15053.74</v>
      </c>
      <c r="BU61">
        <f t="shared" si="1"/>
        <v>66893.14</v>
      </c>
      <c r="BV61">
        <f t="shared" si="1"/>
        <v>111464.01000000001</v>
      </c>
      <c r="BW61">
        <f t="shared" si="1"/>
        <v>23403</v>
      </c>
      <c r="BX61">
        <f t="shared" si="1"/>
        <v>5577</v>
      </c>
      <c r="BY61">
        <f t="shared" si="1"/>
        <v>1340</v>
      </c>
      <c r="BZ61">
        <f t="shared" si="1"/>
        <v>30320</v>
      </c>
      <c r="CA61">
        <f t="shared" si="1"/>
        <v>5563.650000000001</v>
      </c>
      <c r="CB61">
        <f t="shared" si="1"/>
        <v>1398.8</v>
      </c>
      <c r="CC61">
        <f t="shared" si="1"/>
        <v>364.97</v>
      </c>
      <c r="CD61">
        <f t="shared" si="1"/>
        <v>7327.419999999999</v>
      </c>
      <c r="CE61">
        <f t="shared" si="1"/>
        <v>2663</v>
      </c>
      <c r="CF61">
        <f t="shared" si="1"/>
        <v>1018</v>
      </c>
      <c r="CG61">
        <f t="shared" si="1"/>
        <v>426</v>
      </c>
      <c r="CH61">
        <f t="shared" si="1"/>
        <v>4107</v>
      </c>
      <c r="CI61">
        <f t="shared" si="1"/>
        <v>4592.89</v>
      </c>
      <c r="CJ61">
        <f t="shared" si="1"/>
        <v>2016.26</v>
      </c>
      <c r="CK61">
        <f t="shared" si="1"/>
        <v>854.64</v>
      </c>
      <c r="CL61">
        <f t="shared" si="1"/>
        <v>7463.789999999999</v>
      </c>
      <c r="CM61">
        <f t="shared" si="1"/>
        <v>500</v>
      </c>
      <c r="CN61">
        <f t="shared" si="1"/>
        <v>261</v>
      </c>
      <c r="CO61">
        <f t="shared" si="1"/>
        <v>384</v>
      </c>
      <c r="CP61">
        <f t="shared" si="1"/>
        <v>1145</v>
      </c>
      <c r="CQ61">
        <f t="shared" si="1"/>
        <v>2406.7499999999995</v>
      </c>
      <c r="CR61">
        <f t="shared" si="1"/>
        <v>1358.01</v>
      </c>
      <c r="CS61">
        <f t="shared" si="1"/>
        <v>2140.04</v>
      </c>
      <c r="CT61">
        <f t="shared" si="1"/>
        <v>5904.8</v>
      </c>
      <c r="CU61">
        <f t="shared" si="1"/>
        <v>346</v>
      </c>
      <c r="CV61">
        <f t="shared" si="1"/>
        <v>209</v>
      </c>
      <c r="CW61">
        <f t="shared" si="1"/>
        <v>638</v>
      </c>
      <c r="CX61">
        <f t="shared" si="1"/>
        <v>1193</v>
      </c>
      <c r="CY61">
        <f t="shared" si="1"/>
        <v>5954.66</v>
      </c>
      <c r="CZ61">
        <f t="shared" si="1"/>
        <v>3984.3700000000003</v>
      </c>
      <c r="DA61">
        <f t="shared" si="1"/>
        <v>13297.52</v>
      </c>
      <c r="DB61">
        <f t="shared" si="1"/>
        <v>23236.550000000003</v>
      </c>
      <c r="DC61">
        <f t="shared" si="1"/>
        <v>194</v>
      </c>
      <c r="DD61">
        <f t="shared" si="1"/>
        <v>92</v>
      </c>
      <c r="DE61">
        <f t="shared" si="1"/>
        <v>311</v>
      </c>
      <c r="DF61">
        <f t="shared" si="1"/>
        <v>597</v>
      </c>
      <c r="DG61">
        <f t="shared" si="1"/>
        <v>2769.33</v>
      </c>
      <c r="DH61">
        <f t="shared" si="1"/>
        <v>1525.3000000000002</v>
      </c>
      <c r="DI61">
        <f t="shared" si="1"/>
        <v>5507.4800000000005</v>
      </c>
      <c r="DJ61">
        <f t="shared" si="1"/>
        <v>9802.110000000002</v>
      </c>
      <c r="DK61">
        <f t="shared" si="1"/>
        <v>92</v>
      </c>
      <c r="DL61">
        <f t="shared" si="1"/>
        <v>45</v>
      </c>
      <c r="DM61">
        <f t="shared" si="1"/>
        <v>205</v>
      </c>
      <c r="DN61">
        <f t="shared" si="1"/>
        <v>342</v>
      </c>
      <c r="DO61">
        <f t="shared" si="1"/>
        <v>825.21</v>
      </c>
      <c r="DP61">
        <f t="shared" si="1"/>
        <v>460.6</v>
      </c>
      <c r="DQ61">
        <f t="shared" si="1"/>
        <v>4500.469999999999</v>
      </c>
      <c r="DR61">
        <f t="shared" si="1"/>
        <v>5786.280000000001</v>
      </c>
      <c r="DS61">
        <f t="shared" si="1"/>
        <v>133</v>
      </c>
      <c r="DT61">
        <f t="shared" si="1"/>
        <v>33</v>
      </c>
      <c r="DU61">
        <f t="shared" si="1"/>
        <v>87</v>
      </c>
      <c r="DV61">
        <f t="shared" si="1"/>
        <v>253</v>
      </c>
      <c r="DW61">
        <f t="shared" si="1"/>
        <v>856.1999999999999</v>
      </c>
      <c r="DX61">
        <f t="shared" si="1"/>
        <v>99.60999999999999</v>
      </c>
      <c r="DY61">
        <f t="shared" si="1"/>
        <v>1067.1</v>
      </c>
      <c r="DZ61">
        <f t="shared" si="1"/>
        <v>2022.9099999999999</v>
      </c>
      <c r="EA61">
        <f aca="true" t="shared" si="2" ref="EA61:EP61">EA4+EA12+EA22+EA26+EA31+EA39+EA45+EA50+EA58+EA59</f>
        <v>22</v>
      </c>
      <c r="EB61">
        <f t="shared" si="2"/>
        <v>11</v>
      </c>
      <c r="EC61">
        <f t="shared" si="2"/>
        <v>174</v>
      </c>
      <c r="ED61">
        <f t="shared" si="2"/>
        <v>207</v>
      </c>
      <c r="EE61">
        <f t="shared" si="2"/>
        <v>1420.4</v>
      </c>
      <c r="EF61">
        <f t="shared" si="2"/>
        <v>777.3</v>
      </c>
      <c r="EG61">
        <f t="shared" si="2"/>
        <v>13511.900000000001</v>
      </c>
      <c r="EH61">
        <f t="shared" si="2"/>
        <v>15709.6</v>
      </c>
      <c r="EI61">
        <f t="shared" si="2"/>
        <v>27353</v>
      </c>
      <c r="EJ61">
        <f t="shared" si="2"/>
        <v>7246</v>
      </c>
      <c r="EK61">
        <f t="shared" si="2"/>
        <v>3565</v>
      </c>
      <c r="EL61">
        <f t="shared" si="2"/>
        <v>38164</v>
      </c>
      <c r="EM61">
        <f t="shared" si="2"/>
        <v>24389.09</v>
      </c>
      <c r="EN61">
        <f t="shared" si="2"/>
        <v>11620.249999999998</v>
      </c>
      <c r="EO61">
        <f t="shared" si="2"/>
        <v>41244.12</v>
      </c>
      <c r="EP61">
        <f t="shared" si="2"/>
        <v>77253.45999999999</v>
      </c>
    </row>
  </sheetData>
  <sheetProtection/>
  <mergeCells count="55">
    <mergeCell ref="EM2:EP2"/>
    <mergeCell ref="DO2:DR2"/>
    <mergeCell ref="DS2:DV2"/>
    <mergeCell ref="DW2:DZ2"/>
    <mergeCell ref="EA2:ED2"/>
    <mergeCell ref="EE2:EH2"/>
    <mergeCell ref="EI2:EL2"/>
    <mergeCell ref="CQ2:CT2"/>
    <mergeCell ref="CU2:CX2"/>
    <mergeCell ref="CY2:DB2"/>
    <mergeCell ref="DC2:DF2"/>
    <mergeCell ref="DG2:DJ2"/>
    <mergeCell ref="DK2:DN2"/>
    <mergeCell ref="BS2:BV2"/>
    <mergeCell ref="BW2:BZ2"/>
    <mergeCell ref="CA2:CD2"/>
    <mergeCell ref="CE2:CH2"/>
    <mergeCell ref="CI2:CL2"/>
    <mergeCell ref="CM2:CP2"/>
    <mergeCell ref="AU2:AX2"/>
    <mergeCell ref="AY2:BB2"/>
    <mergeCell ref="BC2:BF2"/>
    <mergeCell ref="BG2:BJ2"/>
    <mergeCell ref="BK2:BN2"/>
    <mergeCell ref="BO2:BR2"/>
    <mergeCell ref="W2:Z2"/>
    <mergeCell ref="AA2:AD2"/>
    <mergeCell ref="AE2:AH2"/>
    <mergeCell ref="AI2:AL2"/>
    <mergeCell ref="AM2:AP2"/>
    <mergeCell ref="AQ2:AT2"/>
    <mergeCell ref="B2:B3"/>
    <mergeCell ref="C2:F2"/>
    <mergeCell ref="G2:J2"/>
    <mergeCell ref="K2:N2"/>
    <mergeCell ref="O2:R2"/>
    <mergeCell ref="S2:V2"/>
    <mergeCell ref="CU1:DB1"/>
    <mergeCell ref="DC1:DJ1"/>
    <mergeCell ref="DK1:DR1"/>
    <mergeCell ref="DS1:DZ1"/>
    <mergeCell ref="EA1:EH1"/>
    <mergeCell ref="EI1:EP1"/>
    <mergeCell ref="AY1:BF1"/>
    <mergeCell ref="BG1:BN1"/>
    <mergeCell ref="BO1:BV1"/>
    <mergeCell ref="BW1:CD1"/>
    <mergeCell ref="CE1:CL1"/>
    <mergeCell ref="CM1:CT1"/>
    <mergeCell ref="C1:J1"/>
    <mergeCell ref="K1:R1"/>
    <mergeCell ref="S1:Z1"/>
    <mergeCell ref="AA1:AH1"/>
    <mergeCell ref="AI1:AP1"/>
    <mergeCell ref="AQ1:AX1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  <colBreaks count="5" manualBreakCount="5">
    <brk id="34" max="65535" man="1"/>
    <brk id="66" max="65535" man="1"/>
    <brk id="74" max="65535" man="1"/>
    <brk id="106" max="65535" man="1"/>
    <brk id="1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AKP20120507</cp:lastModifiedBy>
  <cp:lastPrinted>2018-01-31T10:49:34Z</cp:lastPrinted>
  <dcterms:created xsi:type="dcterms:W3CDTF">2000-11-26T08:02:57Z</dcterms:created>
  <dcterms:modified xsi:type="dcterms:W3CDTF">2018-02-09T04:51:27Z</dcterms:modified>
  <cp:category/>
  <cp:version/>
  <cp:contentType/>
  <cp:contentStatus/>
</cp:coreProperties>
</file>