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580" tabRatio="796" activeTab="3"/>
  </bookViews>
  <sheets>
    <sheet name="使用手引き" sheetId="1" r:id="rId1"/>
    <sheet name="入力シート" sheetId="2" r:id="rId2"/>
    <sheet name="計算シート" sheetId="3" r:id="rId3"/>
    <sheet name="別紙4" sheetId="4" r:id="rId4"/>
    <sheet name="式" sheetId="5" state="hidden" r:id="rId5"/>
    <sheet name="係数関連" sheetId="6" r:id="rId6"/>
  </sheets>
  <definedNames>
    <definedName name="CO2_1">'式'!$28:$32</definedName>
    <definedName name="CO2_2">'式'!$33:$37</definedName>
    <definedName name="CO2_3">'式'!$38:$42</definedName>
    <definedName name="CO2_4">'式'!$43:$47</definedName>
    <definedName name="原油_1">'式'!$76:$80</definedName>
    <definedName name="原油_42">'式'!$81:$85</definedName>
    <definedName name="使用量_1">'式'!$49:$53</definedName>
    <definedName name="使用量_2">'式'!$54:$58</definedName>
    <definedName name="使用量_3">'式'!$59:$63</definedName>
    <definedName name="使用量_41">'式'!$64:$68</definedName>
    <definedName name="使用量_42">'式'!$69:$73</definedName>
    <definedName name="入力">'式'!$2:$26</definedName>
  </definedNames>
  <calcPr fullCalcOnLoad="1"/>
</workbook>
</file>

<file path=xl/sharedStrings.xml><?xml version="1.0" encoding="utf-8"?>
<sst xmlns="http://schemas.openxmlformats.org/spreadsheetml/2006/main" count="1475" uniqueCount="396">
  <si>
    <t>■</t>
  </si>
  <si>
    <t>ｋｍ</t>
  </si>
  <si>
    <t>３．現行のCO2排出量</t>
  </si>
  <si>
    <t>合計</t>
  </si>
  <si>
    <t>輸送距離</t>
  </si>
  <si>
    <t>貨物量</t>
  </si>
  <si>
    <t>排出量</t>
  </si>
  <si>
    <t>×</t>
  </si>
  <si>
    <t>＝</t>
  </si>
  <si>
    <t>km</t>
  </si>
  <si>
    <t>５．CO2削減量</t>
  </si>
  <si>
    <t>削減量</t>
  </si>
  <si>
    <t>-</t>
  </si>
  <si>
    <t>削減率</t>
  </si>
  <si>
    <t>（</t>
  </si>
  <si>
    <t>－</t>
  </si>
  <si>
    <t>／</t>
  </si>
  <si>
    <t>）</t>
  </si>
  <si>
    <t>t-CO2／年</t>
  </si>
  <si>
    <t>ガソリン</t>
  </si>
  <si>
    <t>軽油</t>
  </si>
  <si>
    <t>A重油</t>
  </si>
  <si>
    <t>鉄道</t>
  </si>
  <si>
    <t>航空</t>
  </si>
  <si>
    <t>ジェット燃料油</t>
  </si>
  <si>
    <t>軽貨物車</t>
  </si>
  <si>
    <t>No.</t>
  </si>
  <si>
    <t>燃料・電気の種類</t>
  </si>
  <si>
    <t>MJ/㍑</t>
  </si>
  <si>
    <t>tC/GJ</t>
  </si>
  <si>
    <t>④×③×44/12</t>
  </si>
  <si>
    <t>MJ/kg</t>
  </si>
  <si>
    <t>灯油</t>
  </si>
  <si>
    <t>都市ガス</t>
  </si>
  <si>
    <t>注１：単位発熱量は年により変化する場合があるため最新のデータを利用しましょう。</t>
  </si>
  <si>
    <t>注２：都市ガスの単位発熱量は、ガス種類別の値を用いましょう。</t>
  </si>
  <si>
    <t>注３：CNG車の場合には都市ガス参照</t>
  </si>
  <si>
    <t>単位</t>
  </si>
  <si>
    <t>単位発熱量</t>
  </si>
  <si>
    <t>㍑</t>
  </si>
  <si>
    <t>液化石油ガス(LPG)</t>
  </si>
  <si>
    <t>kg</t>
  </si>
  <si>
    <t>※41.1</t>
  </si>
  <si>
    <t>輸送機関</t>
  </si>
  <si>
    <t>固有量①
単位</t>
  </si>
  <si>
    <t>単位発熱量②</t>
  </si>
  <si>
    <t>CO2排出係数
（炭素ベース）③</t>
  </si>
  <si>
    <t>エネルギー算定式④</t>
  </si>
  <si>
    <t>CO2算定式</t>
  </si>
  <si>
    <t>付表1～3　CO2計算用</t>
  </si>
  <si>
    <t>ｋｌ</t>
  </si>
  <si>
    <t>①×②</t>
  </si>
  <si>
    <t>GJ</t>
  </si>
  <si>
    <t>④×③×44/12</t>
  </si>
  <si>
    <t>tCO2</t>
  </si>
  <si>
    <t>③×44/12</t>
  </si>
  <si>
    <t>軽油</t>
  </si>
  <si>
    <t>A重油</t>
  </si>
  <si>
    <t>B・C重油</t>
  </si>
  <si>
    <t>液化石油ガス(LPG)</t>
  </si>
  <si>
    <t>t</t>
  </si>
  <si>
    <r>
      <t>千Nm</t>
    </r>
    <r>
      <rPr>
        <vertAlign val="superscript"/>
        <sz val="10"/>
        <rFont val="ＭＳ Ｐゴシック"/>
        <family val="3"/>
      </rPr>
      <t>3</t>
    </r>
  </si>
  <si>
    <r>
      <t>MJ/Nm</t>
    </r>
    <r>
      <rPr>
        <vertAlign val="superscript"/>
        <sz val="10"/>
        <rFont val="ＭＳ Ｐゴシック"/>
        <family val="3"/>
      </rPr>
      <t>3</t>
    </r>
  </si>
  <si>
    <t>①×②</t>
  </si>
  <si>
    <t>GJ</t>
  </si>
  <si>
    <t>④×③×44/12</t>
  </si>
  <si>
    <t>tCO2</t>
  </si>
  <si>
    <t>③×44/12</t>
  </si>
  <si>
    <t>電気</t>
  </si>
  <si>
    <t>kWh</t>
  </si>
  <si>
    <t>MJ/kWh</t>
  </si>
  <si>
    <t>ｔCO2/kWh</t>
  </si>
  <si>
    <t>①×②</t>
  </si>
  <si>
    <t>GJ</t>
  </si>
  <si>
    <t>①×③×1000</t>
  </si>
  <si>
    <t>tCO2</t>
  </si>
  <si>
    <t>③×1000/②</t>
  </si>
  <si>
    <t>注４：電気は一般電気事業者を想定（受電端）</t>
  </si>
  <si>
    <t>千kWh</t>
  </si>
  <si>
    <t>トラック</t>
  </si>
  <si>
    <t>船舶</t>
  </si>
  <si>
    <t>鉄道</t>
  </si>
  <si>
    <t>航空機</t>
  </si>
  <si>
    <t>その他</t>
  </si>
  <si>
    <t>○</t>
  </si>
  <si>
    <t>B・C重油</t>
  </si>
  <si>
    <r>
      <t>Nm</t>
    </r>
    <r>
      <rPr>
        <vertAlign val="superscript"/>
        <sz val="10"/>
        <rFont val="ＭＳ Ｐゴシック"/>
        <family val="3"/>
      </rPr>
      <t>3</t>
    </r>
  </si>
  <si>
    <t>○</t>
  </si>
  <si>
    <t>改良トンキロ法原単位表（試行事業用）</t>
  </si>
  <si>
    <t>車種</t>
  </si>
  <si>
    <t>燃料</t>
  </si>
  <si>
    <t>最大積載量（kg）</t>
  </si>
  <si>
    <t>輸送ﾄﾝｷﾛ当たり燃料使用量（リットル/ｔ・km）
積載率（％）</t>
  </si>
  <si>
    <t>積載率が不明な場合</t>
  </si>
  <si>
    <t>平均積載率</t>
  </si>
  <si>
    <t>原単位</t>
  </si>
  <si>
    <t>MLC</t>
  </si>
  <si>
    <t>自家用</t>
  </si>
  <si>
    <t>営業用</t>
  </si>
  <si>
    <t>軽・小型・
普通貨物車</t>
  </si>
  <si>
    <t>ガソリン</t>
  </si>
  <si>
    <t>～1,999</t>
  </si>
  <si>
    <t>2,000以上</t>
  </si>
  <si>
    <t>小型・普通貨物車</t>
  </si>
  <si>
    <t>軽油</t>
  </si>
  <si>
    <t>～999</t>
  </si>
  <si>
    <t>1,000～1,999</t>
  </si>
  <si>
    <t>2,000～3,999</t>
  </si>
  <si>
    <t>4,000～5,999</t>
  </si>
  <si>
    <t>6,000～7,999</t>
  </si>
  <si>
    <t>8,000～9,999</t>
  </si>
  <si>
    <t>10,000～11,999</t>
  </si>
  <si>
    <t>１2,000以上</t>
  </si>
  <si>
    <t>ガソリン車</t>
  </si>
  <si>
    <t>log y = -0.927 log x + -0.648 log z + 2.67</t>
  </si>
  <si>
    <t>暫定値</t>
  </si>
  <si>
    <t>ディーゼル車</t>
  </si>
  <si>
    <t>log y = -0.812 log x + -0.654 log z + 2.71</t>
  </si>
  <si>
    <t>x=積載率（小数）、z=最大積載量（kg）、y=燃料消費量（ℓ／(t･km）)</t>
  </si>
  <si>
    <t>log y=a log x + b log z + c</t>
  </si>
  <si>
    <t>x</t>
  </si>
  <si>
    <t>z</t>
  </si>
  <si>
    <t>a</t>
  </si>
  <si>
    <t>b</t>
  </si>
  <si>
    <t>c</t>
  </si>
  <si>
    <t>ガソリン</t>
  </si>
  <si>
    <t>積載率</t>
  </si>
  <si>
    <t>MLC</t>
  </si>
  <si>
    <t>ディーゼル</t>
  </si>
  <si>
    <t>CO2排出原単位</t>
  </si>
  <si>
    <t>参考）
　　CO2換算係数</t>
  </si>
  <si>
    <t>（g-CO2／トンキロ）</t>
  </si>
  <si>
    <r>
      <t>（kg-CO2／</t>
    </r>
    <r>
      <rPr>
        <sz val="11"/>
        <rFont val="ＭＳ Ｐゴシック"/>
        <family val="3"/>
      </rPr>
      <t>MJ</t>
    </r>
    <r>
      <rPr>
        <sz val="11"/>
        <rFont val="ＭＳ Ｐゴシック"/>
        <family val="3"/>
      </rPr>
      <t>）</t>
    </r>
  </si>
  <si>
    <t>原油換算時</t>
  </si>
  <si>
    <t>kl/GJ</t>
  </si>
  <si>
    <t>燃料の種類</t>
  </si>
  <si>
    <t>トラック</t>
  </si>
  <si>
    <t>内航船舶</t>
  </si>
  <si>
    <t>輸送距離</t>
  </si>
  <si>
    <t>燃料使用量</t>
  </si>
  <si>
    <t>◇算定手法</t>
  </si>
  <si>
    <t>燃料使用原単位</t>
  </si>
  <si>
    <t>l／ｔｋｍ</t>
  </si>
  <si>
    <t>総輸送距離</t>
  </si>
  <si>
    <t>単位発熱量</t>
  </si>
  <si>
    <t>原油換算量</t>
  </si>
  <si>
    <t>ｋｌ／年</t>
  </si>
  <si>
    <t>(MJ/トンキロ)</t>
  </si>
  <si>
    <t>原油換算数</t>
  </si>
  <si>
    <t>CO2排出係数</t>
  </si>
  <si>
    <t>ｋWh／年</t>
  </si>
  <si>
    <t>１．現行の輸送ルート</t>
  </si>
  <si>
    <t>貨物量</t>
  </si>
  <si>
    <t>２．事業後の輸送ルート</t>
  </si>
  <si>
    <t>■出発地名と到着地名</t>
  </si>
  <si>
    <t>（半角英数字で距離を入力してください）</t>
  </si>
  <si>
    <t>（半角英数字で貨物量を入力してください）</t>
  </si>
  <si>
    <t>ｔ／年</t>
  </si>
  <si>
    <t>エネルギー使用量</t>
  </si>
  <si>
    <t>燃料使用原単位</t>
  </si>
  <si>
    <t>出発地の住所</t>
  </si>
  <si>
    <t>到着地の住所</t>
  </si>
  <si>
    <t>CO2排出量</t>
  </si>
  <si>
    <t>排出量については、小数第二位で四捨五入した数値が表示されます。
（計算結果については、入力どおりの数値（四捨五入する前の数値）で計算されます。）</t>
  </si>
  <si>
    <t>％</t>
  </si>
  <si>
    <t>排出量については、小数第二位で四捨五入した数値が表示されます。
（計算結果については、入力どおりの数値（四捨五入する前の数値）で計算されます。）</t>
  </si>
  <si>
    <t>燃料使用量</t>
  </si>
  <si>
    <t>CO2排出係数</t>
  </si>
  <si>
    <t>kl</t>
  </si>
  <si>
    <t>t-CO2／ｋl</t>
  </si>
  <si>
    <t>燃費</t>
  </si>
  <si>
    <t>CO2排出係数</t>
  </si>
  <si>
    <t>／</t>
  </si>
  <si>
    <t>×</t>
  </si>
  <si>
    <r>
      <t>10</t>
    </r>
    <r>
      <rPr>
        <vertAlign val="superscript"/>
        <sz val="10.5"/>
        <rFont val="ＭＳ Ｐ明朝"/>
        <family val="1"/>
      </rPr>
      <t>-3</t>
    </r>
  </si>
  <si>
    <t>km</t>
  </si>
  <si>
    <t>km／l</t>
  </si>
  <si>
    <t>t-CO2／ｋl</t>
  </si>
  <si>
    <t>ｔ／年</t>
  </si>
  <si>
    <t>×</t>
  </si>
  <si>
    <r>
      <t>10</t>
    </r>
    <r>
      <rPr>
        <vertAlign val="superscript"/>
        <sz val="10.5"/>
        <rFont val="ＭＳ Ｐ明朝"/>
        <family val="1"/>
      </rPr>
      <t>-6</t>
    </r>
  </si>
  <si>
    <t>ｔ／年</t>
  </si>
  <si>
    <t>g-CO2／ｔｋｍ</t>
  </si>
  <si>
    <t>燃料使用量</t>
  </si>
  <si>
    <t>kl</t>
  </si>
  <si>
    <r>
      <t>kl</t>
    </r>
    <r>
      <rPr>
        <sz val="9"/>
        <rFont val="ＭＳ Ｐ明朝"/>
        <family val="1"/>
      </rPr>
      <t>／年</t>
    </r>
  </si>
  <si>
    <t>燃費</t>
  </si>
  <si>
    <t>燃料使用量</t>
  </si>
  <si>
    <t>／</t>
  </si>
  <si>
    <t>×</t>
  </si>
  <si>
    <r>
      <t>10</t>
    </r>
    <r>
      <rPr>
        <vertAlign val="superscript"/>
        <sz val="10.5"/>
        <rFont val="ＭＳ Ｐ明朝"/>
        <family val="1"/>
      </rPr>
      <t>-3</t>
    </r>
  </si>
  <si>
    <t>km／l</t>
  </si>
  <si>
    <r>
      <t>kl</t>
    </r>
    <r>
      <rPr>
        <sz val="9"/>
        <rFont val="ＭＳ Ｐ明朝"/>
        <family val="1"/>
      </rPr>
      <t>／年</t>
    </r>
  </si>
  <si>
    <t>CO2排出係数</t>
  </si>
  <si>
    <t>t-CO2／ｋl</t>
  </si>
  <si>
    <t>エネルギー消費原単位</t>
  </si>
  <si>
    <t>燃料使用量</t>
  </si>
  <si>
    <t>／</t>
  </si>
  <si>
    <t>ｔ／年</t>
  </si>
  <si>
    <t>MJ／ｔｋｍ</t>
  </si>
  <si>
    <t>MJ/kWh</t>
  </si>
  <si>
    <t>kl</t>
  </si>
  <si>
    <r>
      <t>kl</t>
    </r>
    <r>
      <rPr>
        <sz val="9"/>
        <rFont val="ＭＳ Ｐ明朝"/>
        <family val="1"/>
      </rPr>
      <t>／年</t>
    </r>
  </si>
  <si>
    <t>エネルギー消費原単位</t>
  </si>
  <si>
    <t>×</t>
  </si>
  <si>
    <r>
      <t>10</t>
    </r>
    <r>
      <rPr>
        <vertAlign val="superscript"/>
        <sz val="10.5"/>
        <rFont val="ＭＳ Ｐ明朝"/>
        <family val="1"/>
      </rPr>
      <t>-6</t>
    </r>
  </si>
  <si>
    <t>ｔ／年</t>
  </si>
  <si>
    <t>MJ／ｔｋｍ</t>
  </si>
  <si>
    <t>kl/GJ</t>
  </si>
  <si>
    <t>距離</t>
  </si>
  <si>
    <t>種類</t>
  </si>
  <si>
    <t>燃料使用量</t>
  </si>
  <si>
    <t>原油換算量</t>
  </si>
  <si>
    <t>入力</t>
  </si>
  <si>
    <t>現行のCO2排出量</t>
  </si>
  <si>
    <t>現行の燃料使用量</t>
  </si>
  <si>
    <t>現行の原油換算量</t>
  </si>
  <si>
    <t>CO2</t>
  </si>
  <si>
    <t>使用量</t>
  </si>
  <si>
    <t>換算量</t>
  </si>
  <si>
    <t>輸送機関</t>
  </si>
  <si>
    <t>手法</t>
  </si>
  <si>
    <t>（出発地を入力してください）</t>
  </si>
  <si>
    <t>（到着地を入力してください）</t>
  </si>
  <si>
    <t>二酸化炭素削減効果の一般的算出手順および二酸化炭素排出量原単位－一般的手順－</t>
  </si>
  <si>
    <r>
      <t>以下の</t>
    </r>
    <r>
      <rPr>
        <u val="doubleAccounting"/>
        <sz val="10.5"/>
        <rFont val="ＭＳ 明朝"/>
        <family val="1"/>
      </rPr>
      <t>赤い枠内</t>
    </r>
    <r>
      <rPr>
        <sz val="10.5"/>
        <rFont val="ＭＳ 明朝"/>
        <family val="1"/>
      </rPr>
      <t>に、あてはまる地域名や数値を入力してください。</t>
    </r>
  </si>
  <si>
    <t>■輸送機関</t>
  </si>
  <si>
    <t>４．事業後のCO2排出量</t>
  </si>
  <si>
    <t>（経路の名前を入力してください）</t>
  </si>
  <si>
    <t>経路の名前を入力</t>
  </si>
  <si>
    <t>■現行のCO2排出量合計</t>
  </si>
  <si>
    <t>■事業後のCO2排出量合計</t>
  </si>
  <si>
    <t>燃費法</t>
  </si>
  <si>
    <t>燃料法</t>
  </si>
  <si>
    <t>改良トン</t>
  </si>
  <si>
    <t>トン船舶</t>
  </si>
  <si>
    <t>トン鉄道</t>
  </si>
  <si>
    <t>トンキロ</t>
  </si>
  <si>
    <t>■事業後の原油換算量合計</t>
  </si>
  <si>
    <t>■現行の原油換算量合計</t>
  </si>
  <si>
    <t>６．現行の燃料使用量</t>
  </si>
  <si>
    <t>７．シフト後の燃料使用量</t>
  </si>
  <si>
    <t>８．現行の原油換算量</t>
  </si>
  <si>
    <t>９．事業後の原油換算量</t>
  </si>
  <si>
    <t>１０．原油削減量</t>
  </si>
  <si>
    <t>現行の輸送量</t>
  </si>
  <si>
    <t>現行原油換算原単位</t>
  </si>
  <si>
    <t>／</t>
  </si>
  <si>
    <t>ｔｋｍ／年</t>
  </si>
  <si>
    <t>ｋｌ／ｔｋｍ</t>
  </si>
  <si>
    <t>シフト後原油換算原単位</t>
  </si>
  <si>
    <t>／</t>
  </si>
  <si>
    <t>(</t>
  </si>
  <si>
    <t>）</t>
  </si>
  <si>
    <t>ｋｌ／ｔｋｍ</t>
  </si>
  <si>
    <t>削減率</t>
  </si>
  <si>
    <t>(</t>
  </si>
  <si>
    <t>）</t>
  </si>
  <si>
    <t>％</t>
  </si>
  <si>
    <t>別紙4</t>
  </si>
  <si>
    <t>単位</t>
  </si>
  <si>
    <t>事業前</t>
  </si>
  <si>
    <t>事業後</t>
  </si>
  <si>
    <t>輸送物量</t>
  </si>
  <si>
    <t>トン</t>
  </si>
  <si>
    <t>キロ</t>
  </si>
  <si>
    <t>輸送量</t>
  </si>
  <si>
    <t>エネルギー消費実績</t>
  </si>
  <si>
    <t>kl/年</t>
  </si>
  <si>
    <t>軽油</t>
  </si>
  <si>
    <t>A重油</t>
  </si>
  <si>
    <t>B・C重油</t>
  </si>
  <si>
    <t>液化石油ガス(LPG)</t>
  </si>
  <si>
    <t>Wh/年</t>
  </si>
  <si>
    <t>CO2排出量</t>
  </si>
  <si>
    <t>t-CO2</t>
  </si>
  <si>
    <t>b</t>
  </si>
  <si>
    <t>c</t>
  </si>
  <si>
    <t>原油換算量</t>
  </si>
  <si>
    <t>kl</t>
  </si>
  <si>
    <t>d</t>
  </si>
  <si>
    <t>e</t>
  </si>
  <si>
    <t>原油換算原単位</t>
  </si>
  <si>
    <t>f</t>
  </si>
  <si>
    <t>【省エネ効果】</t>
  </si>
  <si>
    <t>CO2削減量</t>
  </si>
  <si>
    <t>t-CO2</t>
  </si>
  <si>
    <t>h</t>
  </si>
  <si>
    <t>b-c</t>
  </si>
  <si>
    <t>省エネルギー率</t>
  </si>
  <si>
    <t>kl</t>
  </si>
  <si>
    <t>i</t>
  </si>
  <si>
    <t>(f-g)/f</t>
  </si>
  <si>
    <t>省エネルギー量</t>
  </si>
  <si>
    <t>j</t>
  </si>
  <si>
    <t>a×(f-g)</t>
  </si>
  <si>
    <t>現行のCO2排出</t>
  </si>
  <si>
    <t>事業後のCO2排出量</t>
  </si>
  <si>
    <t>現行の原油換算量</t>
  </si>
  <si>
    <t>事業後の原油換算量</t>
  </si>
  <si>
    <t>事業後の輸送量</t>
  </si>
  <si>
    <t>事業後原油換算原単位</t>
  </si>
  <si>
    <t>営業用普通車</t>
  </si>
  <si>
    <t>営業用小型車</t>
  </si>
  <si>
    <t>営業用軽自動車</t>
  </si>
  <si>
    <t>自家用普通車</t>
  </si>
  <si>
    <t>自家用小型車</t>
  </si>
  <si>
    <t>エネルギー消費原単位</t>
  </si>
  <si>
    <t>燃料法</t>
  </si>
  <si>
    <t>営業用普通車</t>
  </si>
  <si>
    <t>本ツールはEXCEL2000以上で動作いたします。</t>
  </si>
  <si>
    <t>ツールの構成</t>
  </si>
  <si>
    <t>入力シート</t>
  </si>
  <si>
    <t>計算シート</t>
  </si>
  <si>
    <t>現行の輸送ルート、事業後の輸送ルートを複数経路入力することができます。</t>
  </si>
  <si>
    <t>削除方法</t>
  </si>
  <si>
    <t>原油換算量</t>
  </si>
  <si>
    <t>CO2排出量</t>
  </si>
  <si>
    <t>事業後のCO2排出量</t>
  </si>
  <si>
    <t>事業後の原油換算量</t>
  </si>
  <si>
    <t>　</t>
  </si>
  <si>
    <t>現行のCO2排出量</t>
  </si>
  <si>
    <t>CO2削減量</t>
  </si>
  <si>
    <t>現行の燃料使用量</t>
  </si>
  <si>
    <t>シフト後の燃料使用量</t>
  </si>
  <si>
    <t>現行の原油換算量</t>
  </si>
  <si>
    <t>原油削減量</t>
  </si>
  <si>
    <t>入力シートに情報を入力すると計算シートに以下の結果が表示されます。</t>
  </si>
  <si>
    <t>②経路の名前を入力</t>
  </si>
  <si>
    <t>③出発地、到着地を入力</t>
  </si>
  <si>
    <t>④輸送距離、貨物量を入力</t>
  </si>
  <si>
    <t>⑦それぞれの算定手法に必要な情報を入力</t>
  </si>
  <si>
    <t>本ツールのシート構成は以下の通りで、入力シートに情報を入力すると計算シートと別紙4に結果が表示されます。</t>
  </si>
  <si>
    <t>入力した経路が不要になった場合は削除ボタン　　　　　を押してください。</t>
  </si>
  <si>
    <t>①～⑦を繰り返してください</t>
  </si>
  <si>
    <r>
      <t>入力方法（</t>
    </r>
    <r>
      <rPr>
        <b/>
        <sz val="11"/>
        <color indexed="10"/>
        <rFont val="ＭＳ Ｐゴシック"/>
        <family val="3"/>
      </rPr>
      <t>赤色</t>
    </r>
    <r>
      <rPr>
        <sz val="11"/>
        <rFont val="ＭＳ Ｐゴシック"/>
        <family val="3"/>
      </rPr>
      <t>で囲んであるセルについて入力またはプルダウンからの選択を行ってください）</t>
    </r>
  </si>
  <si>
    <t>①作成ボタン　　　　　　を押す　（経路入力用の行を作成・追加します）</t>
  </si>
  <si>
    <t>⑤輸送機関をプルダウンより選択</t>
  </si>
  <si>
    <t>⑥算定手法を選択</t>
  </si>
  <si>
    <t>%</t>
  </si>
  <si>
    <t>貨物量合計</t>
  </si>
  <si>
    <t>改良トンキロ法</t>
  </si>
  <si>
    <t>改良トン</t>
  </si>
  <si>
    <t>軽油</t>
  </si>
  <si>
    <t>kg</t>
  </si>
  <si>
    <t>最大積載量（kg）</t>
  </si>
  <si>
    <t>積載率(%)</t>
  </si>
  <si>
    <t>燃料使用原単位</t>
  </si>
  <si>
    <t>最大積載量（kg）</t>
  </si>
  <si>
    <t>積載率(%)</t>
  </si>
  <si>
    <t>燃料使用原単位</t>
  </si>
  <si>
    <t>kg</t>
  </si>
  <si>
    <t>改良トン</t>
  </si>
  <si>
    <t>グリーン物流パートナーシップ推進事業CO2削減量（省エネ量）簡易計算ツール</t>
  </si>
  <si>
    <t>マクロを有効にしてご利用下さい。</t>
  </si>
  <si>
    <t>（経済産業省、国土交通省）を使用しております。</t>
  </si>
  <si>
    <t>■</t>
  </si>
  <si>
    <t>■</t>
  </si>
  <si>
    <t>■</t>
  </si>
  <si>
    <t>■</t>
  </si>
  <si>
    <t>■</t>
  </si>
  <si>
    <t>○○倉庫</t>
  </si>
  <si>
    <t>○△倉庫</t>
  </si>
  <si>
    <t>■△産業</t>
  </si>
  <si>
    <t>■○物流センター</t>
  </si>
  <si>
    <t>i-①　○○倉庫（東京都港区）－○△倉庫（横浜市）</t>
  </si>
  <si>
    <t>i-②　○△倉庫（東京都港区）－■△産業㈱（横浜市）</t>
  </si>
  <si>
    <t>i-③　○△倉庫（東京都港区）－■○物流センター（横浜市）</t>
  </si>
  <si>
    <t>◎◎㈱横浜支店</t>
  </si>
  <si>
    <t>i-④　○△倉庫（東京都港区）－◎◎㈱横浜支店（横浜市）</t>
  </si>
  <si>
    <t>ii-①　☆■倉庫（東京都港区）－○△倉庫（横浜市）</t>
  </si>
  <si>
    <t>☆■倉庫</t>
  </si>
  <si>
    <t>ii-②　☆■倉庫（東京都港区）－■△産業㈱（横浜市）</t>
  </si>
  <si>
    <t>ii-③　☆■倉庫（東京都港区）－■○物流センター（横浜市）</t>
  </si>
  <si>
    <t>ii-④　☆■倉庫（東京都港区）－◎◎㈱横浜支店（横浜市）</t>
  </si>
  <si>
    <t>i-①　新物流センター（東京都港区）－○△倉庫＆■△産業（横浜市）</t>
  </si>
  <si>
    <t>新物流センター</t>
  </si>
  <si>
    <t>○△倉庫＆■△産業</t>
  </si>
  <si>
    <t>i-②　新物流センター（東京都港区）－■○物流センター＆◎◎㈱横浜支店（横浜市）</t>
  </si>
  <si>
    <t>新物流センター</t>
  </si>
  <si>
    <t>■○物流センター＆◎◎㈱横浜支店</t>
  </si>
  <si>
    <r>
      <t>この計算ツールの算定のための係数は、「ロジスティクス分野におけるCO2排出量算定方法共同ガイドラインVer</t>
    </r>
    <r>
      <rPr>
        <sz val="11"/>
        <rFont val="ＭＳ Ｐゴシック"/>
        <family val="3"/>
      </rPr>
      <t>.2.0</t>
    </r>
    <r>
      <rPr>
        <sz val="11"/>
        <rFont val="ＭＳ Ｐゴシック"/>
        <family val="3"/>
      </rPr>
      <t>」</t>
    </r>
  </si>
  <si>
    <t>注</t>
  </si>
  <si>
    <t>計算シートの結果が別紙4に表示されます。</t>
  </si>
  <si>
    <t>輸送物量（トン）及び輸送距離（キロ）欄は表示されませんので、</t>
  </si>
  <si>
    <t>申請書として印刷して使用する場合は、輸送物量（トン）及び輸送距離（キロ）を忘れずに該当欄に入力して下さい。</t>
  </si>
  <si>
    <t>注意事項</t>
  </si>
  <si>
    <t>モデル事業、普及事業とも実施計画書に計算シートと入力シートを添付して下さい。
普及事業については、このファイルにある別紙４を申請様式の別紙４として使用して下さい。</t>
  </si>
  <si>
    <r>
      <t>従来トンキロ法で鉄道・船舶・航空の帰り便空車を算定する場合は【帰り便空車算定ボタン】を</t>
    </r>
    <r>
      <rPr>
        <sz val="11"/>
        <rFont val="ＭＳ Ｐゴシック"/>
        <family val="3"/>
      </rPr>
      <t>ONにしてください。往復のCO2排出量を自動計算できます（空車は積載時の0.8倍のCO2排出量として計算されます。）。</t>
    </r>
  </si>
  <si>
    <r>
      <t>空車走行の燃料使用量は改良トンキロ法では求めることができません。燃料法または燃費法で算定してください。
なお燃費が不明な場合は、共同ガイドラインv2.0</t>
    </r>
    <r>
      <rPr>
        <sz val="11"/>
        <rFont val="ＭＳ Ｐゴシック"/>
        <family val="3"/>
      </rPr>
      <t>(ページⅡ-26　表11-17燃料別最大積載量別燃費（実測燃費が不明な場合））</t>
    </r>
    <r>
      <rPr>
        <sz val="11"/>
        <rFont val="ＭＳ Ｐゴシック"/>
        <family val="3"/>
      </rPr>
      <t>の値を用いてください。</t>
    </r>
  </si>
  <si>
    <t>kl/トン</t>
  </si>
  <si>
    <t>a</t>
  </si>
  <si>
    <t>a'</t>
  </si>
  <si>
    <t>g</t>
  </si>
  <si>
    <t>f=d/a</t>
  </si>
  <si>
    <t>g=e/a'</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</si>
</sst>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0_ "/>
    <numFmt numFmtId="179" formatCode="#,##0_ "/>
    <numFmt numFmtId="180" formatCode="#,##0_);[Red]\(#,##0\)"/>
    <numFmt numFmtId="181" formatCode="#,##0.000;[Red]\-#,##0.000"/>
    <numFmt numFmtId="182" formatCode="0.0%"/>
    <numFmt numFmtId="183" formatCode="0_ "/>
    <numFmt numFmtId="184" formatCode="0.0_ "/>
    <numFmt numFmtId="185" formatCode="0.000_ "/>
    <numFmt numFmtId="186" formatCode="0;_退"/>
    <numFmt numFmtId="187" formatCode="#,##0.0000;[Red]\-#,##0.0000"/>
    <numFmt numFmtId="188" formatCode="0.0000_ "/>
    <numFmt numFmtId="189" formatCode="0.00000_ "/>
    <numFmt numFmtId="190" formatCode="#,##0.000000;[Red]\-#,##0.000000"/>
    <numFmt numFmtId="191" formatCode="#,##0.0;[Red]\-#,##0.0"/>
    <numFmt numFmtId="192" formatCode="0.0000000_ "/>
    <numFmt numFmtId="193" formatCode="0.000000_ "/>
    <numFmt numFmtId="194" formatCode="#,##0.0_);[Red]\(#,##0.0\)"/>
  </numFmts>
  <fonts count="38">
    <font>
      <sz val="11"/>
      <name val="ＭＳ Ｐゴシック"/>
      <family val="3"/>
    </font>
    <font>
      <sz val="10.5"/>
      <name val="ＭＳ Ｐ明朝"/>
      <family val="1"/>
    </font>
    <font>
      <sz val="6"/>
      <name val="ＭＳ Ｐゴシック"/>
      <family val="3"/>
    </font>
    <font>
      <sz val="10.5"/>
      <name val="Century"/>
      <family val="1"/>
    </font>
    <font>
      <sz val="10.5"/>
      <name val="ＭＳ 明朝"/>
      <family val="1"/>
    </font>
    <font>
      <u val="doubleAccounting"/>
      <sz val="10.5"/>
      <name val="ＭＳ 明朝"/>
      <family val="1"/>
    </font>
    <font>
      <sz val="12"/>
      <color indexed="9"/>
      <name val="ＭＳ 明朝"/>
      <family val="1"/>
    </font>
    <font>
      <sz val="8"/>
      <name val="Century"/>
      <family val="1"/>
    </font>
    <font>
      <sz val="8"/>
      <name val="ＭＳ Ｐ明朝"/>
      <family val="1"/>
    </font>
    <font>
      <sz val="12"/>
      <color indexed="9"/>
      <name val="Century"/>
      <family val="1"/>
    </font>
    <font>
      <sz val="12"/>
      <name val="Century"/>
      <family val="1"/>
    </font>
    <font>
      <sz val="12"/>
      <color indexed="9"/>
      <name val="ＭＳ Ｐ明朝"/>
      <family val="1"/>
    </font>
    <font>
      <sz val="10.5"/>
      <color indexed="9"/>
      <name val="ＭＳ Ｐ明朝"/>
      <family val="1"/>
    </font>
    <font>
      <sz val="10.5"/>
      <color indexed="9"/>
      <name val="Century"/>
      <family val="1"/>
    </font>
    <font>
      <sz val="10.5"/>
      <color indexed="8"/>
      <name val="Century"/>
      <family val="1"/>
    </font>
    <font>
      <vertAlign val="superscript"/>
      <sz val="10.5"/>
      <name val="ＭＳ Ｐ明朝"/>
      <family val="1"/>
    </font>
    <font>
      <u val="single"/>
      <sz val="11"/>
      <color indexed="12"/>
      <name val="ＭＳ Ｐゴシック"/>
      <family val="3"/>
    </font>
    <font>
      <u val="single"/>
      <sz val="11"/>
      <color indexed="36"/>
      <name val="ＭＳ Ｐゴシック"/>
      <family val="3"/>
    </font>
    <font>
      <b/>
      <sz val="11"/>
      <name val="ＭＳ Ｐゴシック"/>
      <family val="3"/>
    </font>
    <font>
      <sz val="10"/>
      <name val="ＭＳ Ｐゴシック"/>
      <family val="3"/>
    </font>
    <font>
      <b/>
      <sz val="16"/>
      <name val="ＭＳ Ｐゴシック"/>
      <family val="3"/>
    </font>
    <font>
      <vertAlign val="superscript"/>
      <sz val="10"/>
      <name val="ＭＳ Ｐゴシック"/>
      <family val="3"/>
    </font>
    <font>
      <sz val="16"/>
      <name val="ＭＳ Ｐゴシック"/>
      <family val="3"/>
    </font>
    <font>
      <sz val="10.5"/>
      <name val="ＭＳ Ｐゴシック"/>
      <family val="3"/>
    </font>
    <font>
      <sz val="9"/>
      <name val="ＭＳ Ｐ明朝"/>
      <family val="1"/>
    </font>
    <font>
      <sz val="9"/>
      <name val="Century"/>
      <family val="1"/>
    </font>
    <font>
      <sz val="9"/>
      <name val="ＭＳ Ｐゴシック"/>
      <family val="3"/>
    </font>
    <font>
      <sz val="12"/>
      <name val="ＭＳ 明朝"/>
      <family val="1"/>
    </font>
    <font>
      <sz val="12"/>
      <name val="ＭＳ Ｐゴシック"/>
      <family val="3"/>
    </font>
    <font>
      <sz val="16"/>
      <name val="ＭＳ Ｐ明朝"/>
      <family val="1"/>
    </font>
    <font>
      <b/>
      <sz val="16"/>
      <name val="ＭＳ Ｐ明朝"/>
      <family val="1"/>
    </font>
    <font>
      <b/>
      <sz val="10.5"/>
      <name val="Century"/>
      <family val="1"/>
    </font>
    <font>
      <b/>
      <sz val="9"/>
      <name val="ＭＳ Ｐゴシック"/>
      <family val="3"/>
    </font>
    <font>
      <b/>
      <sz val="14"/>
      <name val="ＭＳ Ｐゴシック"/>
      <family val="3"/>
    </font>
    <font>
      <sz val="8"/>
      <name val="ＭＳ Ｐゴシック"/>
      <family val="3"/>
    </font>
    <font>
      <b/>
      <sz val="11"/>
      <color indexed="10"/>
      <name val="ＭＳ Ｐゴシック"/>
      <family val="3"/>
    </font>
    <font>
      <sz val="11"/>
      <color indexed="10"/>
      <name val="ＭＳ Ｐゴシック"/>
      <family val="3"/>
    </font>
    <font>
      <b/>
      <sz val="11"/>
      <color indexed="53"/>
      <name val="ＭＳ Ｐゴシック"/>
      <family val="3"/>
    </font>
  </fonts>
  <fills count="14">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50"/>
        <bgColor indexed="64"/>
      </patternFill>
    </fill>
    <fill>
      <patternFill patternType="solid">
        <fgColor indexed="63"/>
        <bgColor indexed="64"/>
      </patternFill>
    </fill>
    <fill>
      <patternFill patternType="solid">
        <fgColor indexed="42"/>
        <bgColor indexed="64"/>
      </patternFill>
    </fill>
  </fills>
  <borders count="85">
    <border>
      <left/>
      <right/>
      <top/>
      <bottom/>
      <diagonal/>
    </border>
    <border>
      <left style="thick">
        <color indexed="12"/>
      </left>
      <right style="thick">
        <color indexed="12"/>
      </right>
      <top style="thick">
        <color indexed="12"/>
      </top>
      <bottom style="thick">
        <color indexed="12"/>
      </bottom>
    </border>
    <border>
      <left style="thick"/>
      <right style="thick"/>
      <top style="thick"/>
      <bottom style="thick"/>
    </border>
    <border>
      <left style="thin"/>
      <right style="thin"/>
      <top style="thin"/>
      <bottom style="thin"/>
    </border>
    <border>
      <left style="medium"/>
      <right style="medium"/>
      <top style="medium"/>
      <bottom style="double"/>
    </border>
    <border>
      <left>
        <color indexed="63"/>
      </left>
      <right style="medium"/>
      <top style="medium"/>
      <bottom style="double"/>
    </border>
    <border>
      <left>
        <color indexed="63"/>
      </left>
      <right style="medium"/>
      <top style="medium"/>
      <bottom style="double">
        <color indexed="8"/>
      </botto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style="medium"/>
      <top style="thin"/>
      <bottom style="thin"/>
    </border>
    <border>
      <left style="thin"/>
      <right style="thin"/>
      <top>
        <color indexed="63"/>
      </top>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style="thin"/>
      <bottom style="medium"/>
    </border>
    <border>
      <left style="thin"/>
      <right>
        <color indexed="63"/>
      </right>
      <top style="thin"/>
      <bottom style="medium"/>
    </border>
    <border>
      <left style="medium"/>
      <right style="thin"/>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thick">
        <color indexed="10"/>
      </left>
      <right style="thick">
        <color indexed="10"/>
      </right>
      <top style="thick">
        <color indexed="10"/>
      </top>
      <bottom style="thick">
        <color indexed="10"/>
      </bottom>
    </border>
    <border>
      <left>
        <color indexed="63"/>
      </left>
      <right>
        <color indexed="63"/>
      </right>
      <top style="thick">
        <color indexed="10"/>
      </top>
      <bottom>
        <color indexed="63"/>
      </bottom>
    </border>
    <border>
      <left style="thick">
        <color indexed="23"/>
      </left>
      <right style="thick">
        <color indexed="23"/>
      </right>
      <top style="thick">
        <color indexed="23"/>
      </top>
      <bottom style="thick">
        <color indexed="23"/>
      </bottom>
    </border>
    <border>
      <left style="thin"/>
      <right style="thin"/>
      <top style="double"/>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medium"/>
      <top style="double"/>
      <bottom style="thin"/>
    </border>
    <border>
      <left>
        <color indexed="63"/>
      </left>
      <right>
        <color indexed="63"/>
      </right>
      <top style="thin"/>
      <bottom style="double"/>
    </border>
    <border>
      <left style="thin"/>
      <right style="thin"/>
      <top style="thin"/>
      <bottom style="double"/>
    </border>
    <border>
      <left>
        <color indexed="63"/>
      </left>
      <right style="thin"/>
      <top>
        <color indexed="63"/>
      </top>
      <bottom style="double"/>
    </border>
    <border>
      <left>
        <color indexed="63"/>
      </left>
      <right style="medium"/>
      <top>
        <color indexed="63"/>
      </top>
      <bottom style="double"/>
    </border>
    <border>
      <left style="thin"/>
      <right style="thin"/>
      <top style="medium"/>
      <bottom style="double"/>
    </border>
    <border>
      <left style="thin"/>
      <right>
        <color indexed="63"/>
      </right>
      <top>
        <color indexed="63"/>
      </top>
      <bottom style="thin"/>
    </border>
    <border>
      <left>
        <color indexed="63"/>
      </left>
      <right style="thin"/>
      <top style="thin"/>
      <bottom style="thin"/>
    </border>
    <border>
      <left>
        <color indexed="63"/>
      </left>
      <right style="thin"/>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thin"/>
      <top style="double"/>
      <bottom style="double"/>
    </border>
    <border>
      <left style="thin"/>
      <right>
        <color indexed="63"/>
      </right>
      <top style="double"/>
      <bottom style="double"/>
    </border>
    <border>
      <left>
        <color indexed="63"/>
      </left>
      <right style="thin"/>
      <top style="double"/>
      <bottom style="double"/>
    </border>
    <border>
      <left>
        <color indexed="63"/>
      </left>
      <right>
        <color indexed="63"/>
      </right>
      <top style="double"/>
      <bottom style="double"/>
    </border>
    <border>
      <left>
        <color indexed="63"/>
      </left>
      <right style="medium"/>
      <top style="double"/>
      <bottom style="double"/>
    </border>
    <border>
      <left style="thin"/>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color indexed="63"/>
      </top>
      <bottom style="thick">
        <color indexed="10"/>
      </bottom>
    </border>
    <border>
      <left style="thin"/>
      <right style="medium"/>
      <top style="medium"/>
      <bottom style="double"/>
    </border>
    <border>
      <left style="medium"/>
      <right style="thin"/>
      <top style="double"/>
      <bottom style="double"/>
    </border>
    <border>
      <left style="medium"/>
      <right style="thin"/>
      <top style="double"/>
      <bottom>
        <color indexed="63"/>
      </bottom>
    </border>
    <border>
      <left style="medium"/>
      <right style="thin"/>
      <top>
        <color indexed="63"/>
      </top>
      <bottom style="double"/>
    </border>
    <border diagonalDown="1">
      <left style="medium"/>
      <right style="thin"/>
      <top style="medium"/>
      <bottom style="double"/>
      <diagonal style="thin"/>
    </border>
    <border diagonalDown="1">
      <left style="thin"/>
      <right style="thin"/>
      <top style="medium"/>
      <bottom style="double"/>
      <diagonal style="thin"/>
    </border>
    <border>
      <left style="medium"/>
      <right>
        <color indexed="63"/>
      </right>
      <top style="medium"/>
      <bottom style="double">
        <color indexed="8"/>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
      <left style="thin"/>
      <right style="medium"/>
      <top style="medium"/>
      <bottom style="thin"/>
    </border>
    <border>
      <left style="medium"/>
      <right>
        <color indexed="63"/>
      </right>
      <top style="thin"/>
      <bottom style="thin"/>
    </border>
    <border>
      <left style="medium"/>
      <right style="thin"/>
      <top style="medium"/>
      <bottom>
        <color indexed="63"/>
      </bottom>
    </border>
    <border>
      <left>
        <color indexed="63"/>
      </left>
      <right>
        <color indexed="63"/>
      </right>
      <top style="medium"/>
      <bottom style="double">
        <color indexed="8"/>
      </bottom>
    </border>
    <border>
      <left style="thin"/>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0" borderId="0" applyNumberFormat="0" applyFill="0" applyBorder="0" applyAlignment="0" applyProtection="0"/>
  </cellStyleXfs>
  <cellXfs count="338">
    <xf numFmtId="0" fontId="0" fillId="0" borderId="0" xfId="0" applyAlignment="1">
      <alignment/>
    </xf>
    <xf numFmtId="0" fontId="1" fillId="0" borderId="0" xfId="0" applyFont="1" applyAlignment="1">
      <alignment vertical="center"/>
    </xf>
    <xf numFmtId="0" fontId="3" fillId="0" borderId="0" xfId="0" applyFont="1" applyAlignment="1">
      <alignment vertical="center"/>
    </xf>
    <xf numFmtId="176" fontId="3" fillId="0" borderId="0" xfId="0" applyNumberFormat="1" applyFont="1" applyAlignment="1">
      <alignment horizontal="center" vertical="center"/>
    </xf>
    <xf numFmtId="177" fontId="3" fillId="0" borderId="0" xfId="0" applyNumberFormat="1" applyFont="1" applyAlignment="1">
      <alignment horizontal="center" vertical="center"/>
    </xf>
    <xf numFmtId="0" fontId="4" fillId="0" borderId="0" xfId="0" applyFont="1" applyAlignment="1">
      <alignment vertical="center"/>
    </xf>
    <xf numFmtId="0" fontId="6" fillId="2" borderId="0" xfId="0" applyFont="1" applyFill="1" applyAlignment="1">
      <alignment vertical="center"/>
    </xf>
    <xf numFmtId="178" fontId="3" fillId="0" borderId="0" xfId="0" applyNumberFormat="1" applyFont="1" applyAlignment="1">
      <alignment horizontal="center" vertical="center"/>
    </xf>
    <xf numFmtId="0" fontId="3" fillId="0" borderId="0" xfId="0" applyFont="1" applyAlignment="1">
      <alignment horizontal="center" vertical="center"/>
    </xf>
    <xf numFmtId="179" fontId="3" fillId="0" borderId="0" xfId="0" applyNumberFormat="1" applyFont="1" applyAlignment="1">
      <alignment horizontal="center" vertical="center"/>
    </xf>
    <xf numFmtId="0" fontId="3" fillId="0" borderId="0" xfId="0" applyFont="1" applyFill="1" applyBorder="1" applyAlignment="1">
      <alignment horizontal="center" vertical="center"/>
    </xf>
    <xf numFmtId="178" fontId="3" fillId="0" borderId="0" xfId="0" applyNumberFormat="1" applyFont="1" applyFill="1" applyBorder="1" applyAlignment="1">
      <alignment horizontal="center" vertical="center"/>
    </xf>
    <xf numFmtId="179" fontId="3" fillId="0" borderId="0" xfId="0" applyNumberFormat="1" applyFont="1" applyFill="1" applyBorder="1" applyAlignment="1">
      <alignment horizontal="center" vertical="center"/>
    </xf>
    <xf numFmtId="0" fontId="1" fillId="0" borderId="0" xfId="0" applyFont="1" applyAlignment="1">
      <alignment horizontal="right" vertical="center"/>
    </xf>
    <xf numFmtId="178" fontId="1" fillId="0" borderId="0" xfId="0" applyNumberFormat="1" applyFont="1" applyAlignment="1">
      <alignment horizontal="center" vertical="center"/>
    </xf>
    <xf numFmtId="177" fontId="3" fillId="0" borderId="0" xfId="0" applyNumberFormat="1" applyFont="1" applyAlignment="1">
      <alignment vertical="center"/>
    </xf>
    <xf numFmtId="177" fontId="3" fillId="0" borderId="0" xfId="0" applyNumberFormat="1" applyFont="1" applyFill="1" applyBorder="1" applyAlignment="1">
      <alignment horizontal="center" vertical="center"/>
    </xf>
    <xf numFmtId="179" fontId="1" fillId="0" borderId="0" xfId="0" applyNumberFormat="1" applyFont="1" applyFill="1" applyBorder="1" applyAlignment="1">
      <alignment horizontal="center" vertical="center"/>
    </xf>
    <xf numFmtId="178" fontId="3" fillId="0" borderId="0" xfId="0" applyNumberFormat="1" applyFont="1" applyBorder="1" applyAlignment="1">
      <alignment horizontal="center" vertical="center"/>
    </xf>
    <xf numFmtId="177" fontId="1" fillId="0" borderId="0" xfId="0" applyNumberFormat="1" applyFont="1" applyFill="1" applyBorder="1" applyAlignment="1">
      <alignment horizontal="center" vertical="center"/>
    </xf>
    <xf numFmtId="0" fontId="7" fillId="0" borderId="0" xfId="0" applyFont="1" applyAlignment="1">
      <alignment vertical="center"/>
    </xf>
    <xf numFmtId="178" fontId="8" fillId="0" borderId="0" xfId="0" applyNumberFormat="1" applyFont="1" applyAlignment="1">
      <alignment horizontal="center" vertical="center"/>
    </xf>
    <xf numFmtId="0" fontId="7" fillId="0" borderId="0" xfId="0" applyFont="1" applyAlignment="1">
      <alignment horizontal="center" vertical="center"/>
    </xf>
    <xf numFmtId="176" fontId="7" fillId="0" borderId="0" xfId="0" applyNumberFormat="1" applyFont="1" applyAlignment="1">
      <alignment horizontal="center" vertical="center"/>
    </xf>
    <xf numFmtId="17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78" fontId="7" fillId="0" borderId="0" xfId="0" applyNumberFormat="1" applyFont="1" applyFill="1" applyBorder="1" applyAlignment="1">
      <alignment horizontal="center" vertical="center"/>
    </xf>
    <xf numFmtId="0" fontId="3" fillId="0" borderId="0" xfId="0" applyFont="1" applyAlignment="1">
      <alignment/>
    </xf>
    <xf numFmtId="178" fontId="3" fillId="0" borderId="0" xfId="0" applyNumberFormat="1" applyFont="1" applyAlignment="1">
      <alignment horizontal="center"/>
    </xf>
    <xf numFmtId="0" fontId="3" fillId="0" borderId="0" xfId="0" applyFont="1" applyAlignment="1">
      <alignment horizontal="center"/>
    </xf>
    <xf numFmtId="176" fontId="3" fillId="0" borderId="0" xfId="0" applyNumberFormat="1" applyFont="1" applyAlignment="1">
      <alignment horizontal="center"/>
    </xf>
    <xf numFmtId="179" fontId="3" fillId="0" borderId="0" xfId="0" applyNumberFormat="1" applyFont="1" applyAlignment="1">
      <alignment horizontal="center"/>
    </xf>
    <xf numFmtId="0" fontId="3" fillId="0" borderId="0" xfId="0" applyFont="1" applyFill="1" applyBorder="1" applyAlignment="1">
      <alignment horizontal="center"/>
    </xf>
    <xf numFmtId="178" fontId="3" fillId="0" borderId="0" xfId="0" applyNumberFormat="1" applyFont="1" applyFill="1" applyBorder="1" applyAlignment="1">
      <alignment horizontal="center"/>
    </xf>
    <xf numFmtId="179" fontId="3" fillId="0" borderId="0" xfId="0" applyNumberFormat="1" applyFont="1" applyFill="1" applyBorder="1" applyAlignment="1">
      <alignment horizontal="center"/>
    </xf>
    <xf numFmtId="0" fontId="9" fillId="2" borderId="0" xfId="0" applyFont="1" applyFill="1" applyAlignment="1">
      <alignment vertical="center"/>
    </xf>
    <xf numFmtId="176" fontId="9" fillId="2" borderId="0" xfId="0" applyNumberFormat="1" applyFont="1" applyFill="1" applyAlignment="1">
      <alignment horizontal="center" vertical="center"/>
    </xf>
    <xf numFmtId="176" fontId="3" fillId="3" borderId="0" xfId="0" applyNumberFormat="1" applyFont="1" applyFill="1" applyAlignment="1">
      <alignment horizontal="center" vertical="center"/>
    </xf>
    <xf numFmtId="177" fontId="1" fillId="0" borderId="0" xfId="0" applyNumberFormat="1" applyFont="1" applyAlignment="1">
      <alignment horizontal="right" vertical="center"/>
    </xf>
    <xf numFmtId="0" fontId="10" fillId="0" borderId="0" xfId="0" applyFont="1" applyAlignment="1">
      <alignment vertical="center"/>
    </xf>
    <xf numFmtId="56" fontId="3" fillId="0" borderId="0" xfId="0" applyNumberFormat="1" applyFont="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178" fontId="13" fillId="2" borderId="0" xfId="0" applyNumberFormat="1" applyFont="1" applyFill="1" applyAlignment="1">
      <alignment horizontal="center" vertical="center"/>
    </xf>
    <xf numFmtId="0" fontId="13" fillId="2" borderId="0" xfId="0" applyFont="1" applyFill="1" applyAlignment="1">
      <alignment horizontal="center" vertical="center"/>
    </xf>
    <xf numFmtId="176" fontId="13" fillId="2" borderId="0" xfId="0" applyNumberFormat="1" applyFont="1" applyFill="1" applyAlignment="1">
      <alignment horizontal="center" vertical="center"/>
    </xf>
    <xf numFmtId="179" fontId="13" fillId="2" borderId="0" xfId="0" applyNumberFormat="1" applyFont="1" applyFill="1" applyAlignment="1">
      <alignment horizontal="center" vertical="center"/>
    </xf>
    <xf numFmtId="0" fontId="13" fillId="2" borderId="0" xfId="0" applyFont="1" applyFill="1" applyBorder="1" applyAlignment="1">
      <alignment horizontal="center" vertical="center"/>
    </xf>
    <xf numFmtId="178" fontId="13" fillId="2" borderId="0" xfId="0" applyNumberFormat="1" applyFont="1" applyFill="1" applyBorder="1" applyAlignment="1">
      <alignment horizontal="center" vertical="center"/>
    </xf>
    <xf numFmtId="180" fontId="3" fillId="3" borderId="0" xfId="0" applyNumberFormat="1" applyFont="1" applyFill="1" applyAlignment="1">
      <alignment horizontal="center" vertical="center"/>
    </xf>
    <xf numFmtId="178" fontId="3" fillId="0" borderId="1" xfId="0" applyNumberFormat="1" applyFont="1" applyBorder="1" applyAlignment="1">
      <alignment horizontal="center" vertical="center"/>
    </xf>
    <xf numFmtId="176" fontId="14" fillId="3" borderId="0" xfId="0" applyNumberFormat="1" applyFont="1" applyFill="1" applyAlignment="1">
      <alignment horizontal="center" vertical="center"/>
    </xf>
    <xf numFmtId="177" fontId="1" fillId="0" borderId="0" xfId="0" applyNumberFormat="1" applyFont="1" applyAlignment="1">
      <alignment horizontal="center" vertical="center"/>
    </xf>
    <xf numFmtId="179" fontId="1" fillId="3" borderId="0" xfId="0" applyNumberFormat="1" applyFont="1" applyFill="1" applyAlignment="1">
      <alignment horizontal="center" vertical="center"/>
    </xf>
    <xf numFmtId="178" fontId="3" fillId="0" borderId="2" xfId="0" applyNumberFormat="1" applyFont="1" applyBorder="1" applyAlignment="1">
      <alignment horizontal="center" vertical="center"/>
    </xf>
    <xf numFmtId="178" fontId="1" fillId="0" borderId="0" xfId="0" applyNumberFormat="1" applyFont="1" applyAlignment="1">
      <alignment horizontal="left" vertical="center"/>
    </xf>
    <xf numFmtId="178" fontId="7" fillId="0" borderId="0" xfId="0" applyNumberFormat="1" applyFont="1" applyAlignment="1">
      <alignment horizontal="center" vertical="center"/>
    </xf>
    <xf numFmtId="179" fontId="7" fillId="0" borderId="0" xfId="0" applyNumberFormat="1" applyFont="1" applyAlignment="1">
      <alignment horizontal="center" vertical="center"/>
    </xf>
    <xf numFmtId="0" fontId="7" fillId="0" borderId="0" xfId="0" applyFont="1" applyAlignment="1">
      <alignment/>
    </xf>
    <xf numFmtId="0" fontId="13" fillId="2" borderId="0" xfId="0" applyFont="1" applyFill="1" applyAlignment="1">
      <alignment/>
    </xf>
    <xf numFmtId="178" fontId="13" fillId="2" borderId="0" xfId="0" applyNumberFormat="1" applyFont="1" applyFill="1" applyAlignment="1">
      <alignment horizontal="center"/>
    </xf>
    <xf numFmtId="0" fontId="13" fillId="2" borderId="0" xfId="0" applyFont="1" applyFill="1" applyAlignment="1">
      <alignment horizontal="center"/>
    </xf>
    <xf numFmtId="176" fontId="13" fillId="2" borderId="0" xfId="0" applyNumberFormat="1" applyFont="1" applyFill="1" applyAlignment="1">
      <alignment horizontal="center"/>
    </xf>
    <xf numFmtId="179" fontId="13" fillId="2" borderId="0" xfId="0" applyNumberFormat="1" applyFont="1" applyFill="1" applyAlignment="1">
      <alignment horizontal="center"/>
    </xf>
    <xf numFmtId="0" fontId="13" fillId="2" borderId="0" xfId="0" applyFont="1" applyFill="1" applyBorder="1" applyAlignment="1">
      <alignment horizontal="center"/>
    </xf>
    <xf numFmtId="178" fontId="13" fillId="2" borderId="0" xfId="0" applyNumberFormat="1" applyFont="1" applyFill="1" applyBorder="1" applyAlignment="1">
      <alignment horizontal="center"/>
    </xf>
    <xf numFmtId="180" fontId="1" fillId="0" borderId="0" xfId="0" applyNumberFormat="1" applyFont="1" applyFill="1" applyAlignment="1">
      <alignment horizontal="center" vertical="center"/>
    </xf>
    <xf numFmtId="177" fontId="9" fillId="2" borderId="0" xfId="0" applyNumberFormat="1" applyFont="1" applyFill="1" applyAlignment="1">
      <alignment vertical="center"/>
    </xf>
    <xf numFmtId="177" fontId="3" fillId="0" borderId="0" xfId="0" applyNumberFormat="1" applyFont="1" applyBorder="1" applyAlignment="1">
      <alignment vertical="center"/>
    </xf>
    <xf numFmtId="177" fontId="1" fillId="0" borderId="0" xfId="0" applyNumberFormat="1" applyFont="1" applyAlignment="1">
      <alignment vertical="center"/>
    </xf>
    <xf numFmtId="0" fontId="4" fillId="0" borderId="0" xfId="0" applyFont="1" applyAlignment="1">
      <alignment vertical="center" shrinkToFit="1"/>
    </xf>
    <xf numFmtId="177" fontId="1" fillId="0" borderId="0" xfId="0" applyNumberFormat="1" applyFont="1" applyFill="1" applyAlignment="1">
      <alignment horizontal="center" vertical="center"/>
    </xf>
    <xf numFmtId="177" fontId="1" fillId="0" borderId="0" xfId="0" applyNumberFormat="1" applyFont="1" applyFill="1" applyAlignment="1" quotePrefix="1">
      <alignment horizontal="center" vertical="center"/>
    </xf>
    <xf numFmtId="180" fontId="1" fillId="0" borderId="0" xfId="0" applyNumberFormat="1" applyFont="1" applyBorder="1" applyAlignment="1">
      <alignment horizontal="center" vertical="center"/>
    </xf>
    <xf numFmtId="177" fontId="3" fillId="0" borderId="0" xfId="0" applyNumberFormat="1" applyFont="1" applyBorder="1" applyAlignment="1">
      <alignment horizontal="center" vertical="center"/>
    </xf>
    <xf numFmtId="0" fontId="19" fillId="0" borderId="3" xfId="0" applyFont="1" applyBorder="1" applyAlignment="1">
      <alignment horizontal="center" vertical="center"/>
    </xf>
    <xf numFmtId="0" fontId="20" fillId="0" borderId="0" xfId="0" applyFont="1" applyAlignment="1">
      <alignment vertical="center"/>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justify" vertical="center" wrapText="1"/>
    </xf>
    <xf numFmtId="0" fontId="19" fillId="0" borderId="8" xfId="0" applyFont="1" applyBorder="1" applyAlignment="1">
      <alignment horizontal="center" vertical="center" wrapText="1"/>
    </xf>
    <xf numFmtId="0" fontId="19" fillId="0" borderId="9" xfId="0" applyFont="1" applyBorder="1" applyAlignment="1">
      <alignment horizontal="righ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0" fillId="4" borderId="10" xfId="0" applyNumberFormat="1" applyFill="1" applyBorder="1" applyAlignment="1">
      <alignment/>
    </xf>
    <xf numFmtId="0" fontId="0" fillId="0" borderId="11" xfId="0" applyBorder="1" applyAlignment="1">
      <alignment/>
    </xf>
    <xf numFmtId="0" fontId="0" fillId="4" borderId="12" xfId="0" applyNumberFormat="1" applyFill="1" applyBorder="1" applyAlignment="1">
      <alignment/>
    </xf>
    <xf numFmtId="0" fontId="0" fillId="0" borderId="13" xfId="0" applyBorder="1" applyAlignment="1">
      <alignment/>
    </xf>
    <xf numFmtId="0" fontId="19" fillId="0" borderId="14" xfId="0" applyFont="1" applyFill="1" applyBorder="1" applyAlignment="1">
      <alignment horizontal="center" vertical="center" wrapText="1"/>
    </xf>
    <xf numFmtId="0" fontId="19" fillId="0" borderId="15" xfId="0" applyFont="1" applyFill="1" applyBorder="1" applyAlignment="1">
      <alignment horizontal="justify" vertical="center" wrapText="1"/>
    </xf>
    <xf numFmtId="0" fontId="19" fillId="0" borderId="15" xfId="0" applyFont="1" applyFill="1" applyBorder="1" applyAlignment="1">
      <alignment horizontal="center" vertical="center" wrapText="1"/>
    </xf>
    <xf numFmtId="0" fontId="19" fillId="0" borderId="16" xfId="0" applyFont="1" applyFill="1" applyBorder="1" applyAlignment="1">
      <alignment horizontal="right" vertical="center" wrapText="1"/>
    </xf>
    <xf numFmtId="0" fontId="19" fillId="0" borderId="15"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0" xfId="0" applyFont="1" applyAlignment="1">
      <alignment vertical="center"/>
    </xf>
    <xf numFmtId="0" fontId="19" fillId="0" borderId="0" xfId="0" applyFont="1" applyFill="1" applyBorder="1" applyAlignment="1">
      <alignment horizontal="center" vertical="center" wrapText="1"/>
    </xf>
    <xf numFmtId="0" fontId="0" fillId="0" borderId="0" xfId="0" applyAlignment="1">
      <alignment horizontal="center" vertical="center"/>
    </xf>
    <xf numFmtId="0" fontId="18" fillId="0" borderId="0" xfId="0" applyFont="1" applyAlignment="1">
      <alignment/>
    </xf>
    <xf numFmtId="0" fontId="0" fillId="0" borderId="0" xfId="0" applyFill="1" applyAlignment="1">
      <alignment/>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5" borderId="19" xfId="0" applyFont="1" applyFill="1" applyBorder="1" applyAlignment="1">
      <alignment horizontal="center" vertical="center"/>
    </xf>
    <xf numFmtId="9" fontId="19" fillId="0" borderId="3" xfId="0" applyNumberFormat="1" applyFont="1" applyBorder="1" applyAlignment="1">
      <alignment horizontal="center" vertical="center"/>
    </xf>
    <xf numFmtId="9" fontId="19" fillId="0" borderId="20" xfId="0" applyNumberFormat="1" applyFont="1" applyBorder="1" applyAlignment="1">
      <alignment horizontal="center" vertical="center"/>
    </xf>
    <xf numFmtId="0" fontId="19" fillId="0" borderId="21" xfId="0" applyFont="1" applyBorder="1" applyAlignment="1">
      <alignment horizontal="center" vertical="center"/>
    </xf>
    <xf numFmtId="0" fontId="19" fillId="0" borderId="3" xfId="0" applyFont="1" applyFill="1" applyBorder="1" applyAlignment="1">
      <alignment horizontal="center" vertical="center"/>
    </xf>
    <xf numFmtId="0" fontId="19" fillId="5" borderId="3" xfId="0" applyFont="1" applyFill="1" applyBorder="1" applyAlignment="1">
      <alignment horizontal="right" vertical="center"/>
    </xf>
    <xf numFmtId="181" fontId="0" fillId="0" borderId="3" xfId="17" applyNumberFormat="1" applyBorder="1" applyAlignment="1">
      <alignment vertical="center"/>
    </xf>
    <xf numFmtId="181" fontId="0" fillId="0" borderId="20" xfId="17" applyNumberFormat="1" applyBorder="1" applyAlignment="1">
      <alignment vertical="center"/>
    </xf>
    <xf numFmtId="182" fontId="0" fillId="6" borderId="21" xfId="15" applyNumberFormat="1" applyFill="1" applyBorder="1" applyAlignment="1">
      <alignment horizontal="center" vertical="center"/>
    </xf>
    <xf numFmtId="182" fontId="0" fillId="6" borderId="17" xfId="15" applyNumberFormat="1" applyFill="1" applyBorder="1" applyAlignment="1">
      <alignment horizontal="center" vertical="center"/>
    </xf>
    <xf numFmtId="181" fontId="0" fillId="6" borderId="20" xfId="17" applyNumberFormat="1" applyFill="1" applyBorder="1" applyAlignment="1">
      <alignment horizontal="center" vertical="center"/>
    </xf>
    <xf numFmtId="181" fontId="0" fillId="6" borderId="22" xfId="17" applyNumberFormat="1" applyFill="1" applyBorder="1" applyAlignment="1">
      <alignment horizontal="center" vertical="center"/>
    </xf>
    <xf numFmtId="0" fontId="19" fillId="0" borderId="3" xfId="0" applyFont="1" applyFill="1" applyBorder="1" applyAlignment="1">
      <alignment horizontal="right" vertical="center"/>
    </xf>
    <xf numFmtId="0" fontId="19" fillId="0" borderId="23" xfId="0" applyFont="1" applyFill="1" applyBorder="1" applyAlignment="1">
      <alignment horizontal="right" vertical="center"/>
    </xf>
    <xf numFmtId="0" fontId="19" fillId="5" borderId="23" xfId="0" applyFont="1" applyFill="1" applyBorder="1" applyAlignment="1">
      <alignment horizontal="right" vertical="center"/>
    </xf>
    <xf numFmtId="0" fontId="19" fillId="7" borderId="3" xfId="0" applyFont="1" applyFill="1" applyBorder="1" applyAlignment="1">
      <alignment horizontal="right" vertical="center"/>
    </xf>
    <xf numFmtId="0" fontId="19" fillId="7" borderId="24" xfId="0" applyFont="1" applyFill="1" applyBorder="1" applyAlignment="1">
      <alignment horizontal="right" vertical="center"/>
    </xf>
    <xf numFmtId="0" fontId="19" fillId="5" borderId="24" xfId="0" applyFont="1" applyFill="1" applyBorder="1" applyAlignment="1">
      <alignment horizontal="right" vertical="center"/>
    </xf>
    <xf numFmtId="181" fontId="0" fillId="0" borderId="24" xfId="17" applyNumberFormat="1" applyBorder="1" applyAlignment="1">
      <alignment vertical="center"/>
    </xf>
    <xf numFmtId="181" fontId="0" fillId="0" borderId="25" xfId="17" applyNumberFormat="1" applyBorder="1" applyAlignment="1">
      <alignment vertical="center"/>
    </xf>
    <xf numFmtId="182" fontId="0" fillId="6" borderId="26" xfId="15" applyNumberFormat="1" applyFill="1" applyBorder="1" applyAlignment="1">
      <alignment horizontal="center" vertical="center"/>
    </xf>
    <xf numFmtId="182" fontId="0" fillId="6" borderId="27" xfId="15" applyNumberFormat="1" applyFill="1" applyBorder="1" applyAlignment="1">
      <alignment horizontal="center" vertical="center"/>
    </xf>
    <xf numFmtId="181" fontId="0" fillId="6" borderId="25" xfId="17" applyNumberFormat="1" applyFill="1" applyBorder="1" applyAlignment="1">
      <alignment horizontal="center" vertical="center"/>
    </xf>
    <xf numFmtId="181" fontId="0" fillId="6" borderId="28" xfId="17" applyNumberFormat="1" applyFill="1" applyBorder="1" applyAlignment="1">
      <alignment horizontal="center" vertical="center"/>
    </xf>
    <xf numFmtId="0" fontId="0" fillId="6" borderId="0" xfId="0" applyFill="1" applyAlignment="1">
      <alignment/>
    </xf>
    <xf numFmtId="0" fontId="22" fillId="0" borderId="0" xfId="0" applyFont="1" applyAlignment="1">
      <alignment/>
    </xf>
    <xf numFmtId="0" fontId="0" fillId="0" borderId="3" xfId="0" applyBorder="1" applyAlignment="1">
      <alignment/>
    </xf>
    <xf numFmtId="0" fontId="0" fillId="8" borderId="3" xfId="0" applyFill="1" applyBorder="1" applyAlignment="1">
      <alignment/>
    </xf>
    <xf numFmtId="0" fontId="0" fillId="0" borderId="3" xfId="17" applyNumberFormat="1" applyBorder="1" applyAlignment="1">
      <alignment vertical="center"/>
    </xf>
    <xf numFmtId="11" fontId="0" fillId="0" borderId="0" xfId="0" applyNumberFormat="1" applyAlignment="1">
      <alignment/>
    </xf>
    <xf numFmtId="0" fontId="23" fillId="0" borderId="29" xfId="0" applyFont="1" applyBorder="1" applyAlignment="1">
      <alignment horizontal="center" vertical="top" wrapText="1"/>
    </xf>
    <xf numFmtId="0" fontId="0" fillId="0" borderId="30" xfId="0" applyFont="1" applyBorder="1" applyAlignment="1">
      <alignment horizontal="center" vertical="center" wrapText="1"/>
    </xf>
    <xf numFmtId="0" fontId="0" fillId="0" borderId="30" xfId="0" applyFont="1" applyBorder="1" applyAlignment="1">
      <alignment vertical="center" wrapText="1"/>
    </xf>
    <xf numFmtId="0" fontId="23" fillId="0" borderId="8" xfId="0" applyFont="1" applyBorder="1" applyAlignment="1">
      <alignment horizontal="center" vertical="top" wrapText="1"/>
    </xf>
    <xf numFmtId="0" fontId="0" fillId="0" borderId="31" xfId="0" applyFont="1" applyBorder="1" applyAlignment="1">
      <alignment horizontal="center" vertical="center" wrapText="1"/>
    </xf>
    <xf numFmtId="0" fontId="23" fillId="0" borderId="7" xfId="0" applyFont="1" applyBorder="1" applyAlignment="1">
      <alignment horizontal="center" vertical="top" wrapText="1"/>
    </xf>
    <xf numFmtId="0" fontId="23" fillId="6" borderId="8" xfId="0" applyFont="1" applyFill="1" applyBorder="1" applyAlignment="1">
      <alignment horizontal="center" vertical="top" wrapText="1"/>
    </xf>
    <xf numFmtId="187" fontId="0" fillId="6" borderId="14" xfId="17" applyNumberFormat="1" applyFill="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177" fontId="1" fillId="0" borderId="0" xfId="0" applyNumberFormat="1" applyFont="1" applyBorder="1" applyAlignment="1">
      <alignment horizontal="center" vertical="center"/>
    </xf>
    <xf numFmtId="177" fontId="4"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0" fontId="3" fillId="0" borderId="0" xfId="0" applyFont="1" applyAlignment="1">
      <alignment horizontal="right" vertical="center"/>
    </xf>
    <xf numFmtId="177" fontId="4" fillId="0" borderId="32" xfId="0" applyNumberFormat="1" applyFont="1" applyBorder="1" applyAlignment="1" applyProtection="1">
      <alignment horizontal="center" vertical="center"/>
      <protection locked="0"/>
    </xf>
    <xf numFmtId="177" fontId="1" fillId="0" borderId="32" xfId="0" applyNumberFormat="1" applyFont="1" applyBorder="1" applyAlignment="1" applyProtection="1">
      <alignment horizontal="center" vertical="center"/>
      <protection locked="0"/>
    </xf>
    <xf numFmtId="190" fontId="3" fillId="0" borderId="32" xfId="17" applyNumberFormat="1" applyFont="1" applyBorder="1" applyAlignment="1">
      <alignment horizontal="center" vertical="center"/>
    </xf>
    <xf numFmtId="190" fontId="3" fillId="0" borderId="33" xfId="17" applyNumberFormat="1" applyFont="1" applyBorder="1" applyAlignment="1">
      <alignment horizontal="center" vertical="center"/>
    </xf>
    <xf numFmtId="189" fontId="0" fillId="0" borderId="0" xfId="0" applyNumberFormat="1" applyAlignment="1">
      <alignment/>
    </xf>
    <xf numFmtId="0" fontId="1" fillId="0" borderId="0" xfId="0" applyFont="1" applyAlignment="1">
      <alignment horizontal="right" vertical="center" indent="1"/>
    </xf>
    <xf numFmtId="178" fontId="24" fillId="0" borderId="0" xfId="0" applyNumberFormat="1" applyFont="1" applyAlignment="1">
      <alignment horizontal="left" vertical="center"/>
    </xf>
    <xf numFmtId="178" fontId="1" fillId="0" borderId="0" xfId="0" applyNumberFormat="1" applyFont="1" applyAlignment="1">
      <alignment horizontal="center"/>
    </xf>
    <xf numFmtId="178" fontId="3" fillId="0" borderId="34" xfId="0" applyNumberFormat="1" applyFont="1" applyBorder="1" applyAlignment="1">
      <alignment horizontal="center" vertical="center"/>
    </xf>
    <xf numFmtId="9" fontId="3" fillId="0" borderId="32" xfId="17" applyNumberFormat="1" applyFont="1" applyBorder="1" applyAlignment="1" applyProtection="1">
      <alignment horizontal="center" vertical="center"/>
      <protection locked="0"/>
    </xf>
    <xf numFmtId="185" fontId="1" fillId="0" borderId="1" xfId="17" applyNumberFormat="1" applyFont="1" applyBorder="1" applyAlignment="1" applyProtection="1">
      <alignment horizontal="center" vertical="center"/>
      <protection/>
    </xf>
    <xf numFmtId="0" fontId="3" fillId="0" borderId="32" xfId="0" applyNumberFormat="1" applyFont="1" applyBorder="1" applyAlignment="1" applyProtection="1">
      <alignment horizontal="center" vertical="center"/>
      <protection locked="0"/>
    </xf>
    <xf numFmtId="185" fontId="3" fillId="0" borderId="34" xfId="0" applyNumberFormat="1" applyFont="1" applyBorder="1" applyAlignment="1">
      <alignment horizontal="center" vertical="center"/>
    </xf>
    <xf numFmtId="0" fontId="3" fillId="0" borderId="32" xfId="17" applyNumberFormat="1" applyFont="1" applyBorder="1" applyAlignment="1" applyProtection="1">
      <alignment horizontal="center" vertical="center"/>
      <protection locked="0"/>
    </xf>
    <xf numFmtId="0" fontId="3" fillId="0" borderId="1" xfId="0" applyNumberFormat="1" applyFont="1" applyBorder="1" applyAlignment="1">
      <alignment horizontal="center" vertical="center"/>
    </xf>
    <xf numFmtId="0" fontId="26" fillId="0" borderId="0" xfId="0" applyFont="1" applyAlignment="1">
      <alignment/>
    </xf>
    <xf numFmtId="0" fontId="26" fillId="0" borderId="0" xfId="0" applyFont="1" applyAlignment="1">
      <alignment vertical="center" wrapText="1"/>
    </xf>
    <xf numFmtId="178" fontId="1" fillId="0" borderId="0" xfId="0" applyNumberFormat="1" applyFont="1" applyAlignment="1">
      <alignment horizontal="left"/>
    </xf>
    <xf numFmtId="178" fontId="24" fillId="0" borderId="0" xfId="0" applyNumberFormat="1" applyFont="1" applyAlignment="1">
      <alignment horizontal="left"/>
    </xf>
    <xf numFmtId="0" fontId="1" fillId="0" borderId="0" xfId="0" applyFont="1" applyAlignment="1">
      <alignment/>
    </xf>
    <xf numFmtId="185" fontId="3" fillId="0" borderId="1" xfId="0" applyNumberFormat="1" applyFont="1" applyBorder="1" applyAlignment="1">
      <alignment horizontal="center" vertical="center"/>
    </xf>
    <xf numFmtId="177" fontId="24" fillId="0" borderId="0" xfId="0" applyNumberFormat="1" applyFont="1" applyAlignment="1">
      <alignment horizontal="center" vertical="center"/>
    </xf>
    <xf numFmtId="178" fontId="25" fillId="0" borderId="0" xfId="0" applyNumberFormat="1" applyFont="1" applyAlignment="1">
      <alignment horizontal="center" vertical="center"/>
    </xf>
    <xf numFmtId="178" fontId="24" fillId="0" borderId="0" xfId="0" applyNumberFormat="1" applyFont="1" applyAlignment="1">
      <alignment horizontal="center" vertical="center"/>
    </xf>
    <xf numFmtId="177" fontId="24" fillId="0" borderId="0" xfId="0" applyNumberFormat="1" applyFont="1" applyAlignment="1">
      <alignment vertical="center"/>
    </xf>
    <xf numFmtId="188" fontId="3" fillId="0" borderId="34" xfId="0" applyNumberFormat="1" applyFont="1" applyBorder="1" applyAlignment="1">
      <alignment horizontal="center" vertical="center"/>
    </xf>
    <xf numFmtId="184" fontId="3" fillId="0" borderId="34" xfId="0" applyNumberFormat="1" applyFont="1" applyBorder="1" applyAlignment="1">
      <alignment horizontal="center" vertical="center"/>
    </xf>
    <xf numFmtId="177" fontId="10" fillId="0" borderId="0" xfId="0" applyNumberFormat="1" applyFont="1" applyAlignment="1">
      <alignment vertical="center"/>
    </xf>
    <xf numFmtId="0" fontId="28" fillId="0" borderId="0" xfId="0" applyFont="1" applyAlignment="1">
      <alignment/>
    </xf>
    <xf numFmtId="56" fontId="27" fillId="0" borderId="0" xfId="0" applyNumberFormat="1" applyFont="1" applyAlignment="1">
      <alignment vertical="top"/>
    </xf>
    <xf numFmtId="0" fontId="0" fillId="9" borderId="0" xfId="0" applyFill="1" applyAlignment="1">
      <alignment/>
    </xf>
    <xf numFmtId="189" fontId="0" fillId="9" borderId="0" xfId="0" applyNumberFormat="1" applyFill="1" applyAlignment="1">
      <alignment/>
    </xf>
    <xf numFmtId="0" fontId="0" fillId="10" borderId="0" xfId="0" applyFill="1" applyAlignment="1">
      <alignment/>
    </xf>
    <xf numFmtId="0" fontId="0" fillId="11" borderId="0" xfId="0" applyFill="1" applyAlignment="1">
      <alignment/>
    </xf>
    <xf numFmtId="189" fontId="0" fillId="11" borderId="0" xfId="0" applyNumberFormat="1" applyFill="1" applyAlignment="1">
      <alignment/>
    </xf>
    <xf numFmtId="178" fontId="0" fillId="0" borderId="0" xfId="0" applyNumberFormat="1" applyAlignment="1">
      <alignment/>
    </xf>
    <xf numFmtId="0" fontId="0" fillId="0" borderId="0" xfId="0" applyFill="1" applyAlignment="1">
      <alignment/>
    </xf>
    <xf numFmtId="0" fontId="27" fillId="12" borderId="9" xfId="0" applyNumberFormat="1" applyFont="1" applyFill="1" applyBorder="1" applyAlignment="1">
      <alignment vertical="top"/>
    </xf>
    <xf numFmtId="0" fontId="1" fillId="0" borderId="0" xfId="0" applyFont="1" applyAlignment="1">
      <alignment horizontal="center" vertical="center"/>
    </xf>
    <xf numFmtId="0" fontId="29" fillId="0" borderId="0" xfId="0" applyFont="1" applyAlignment="1">
      <alignment horizontal="right" vertical="center"/>
    </xf>
    <xf numFmtId="0" fontId="30" fillId="0" borderId="0" xfId="0" applyFont="1" applyAlignment="1">
      <alignment vertical="center"/>
    </xf>
    <xf numFmtId="178" fontId="24" fillId="0" borderId="0" xfId="0" applyNumberFormat="1" applyFont="1" applyAlignment="1">
      <alignment horizontal="center"/>
    </xf>
    <xf numFmtId="0" fontId="1" fillId="0" borderId="0" xfId="0" applyFont="1" applyAlignment="1">
      <alignment horizontal="center"/>
    </xf>
    <xf numFmtId="183" fontId="3" fillId="0" borderId="2" xfId="0" applyNumberFormat="1" applyFont="1" applyBorder="1" applyAlignment="1">
      <alignment horizontal="center" vertical="center"/>
    </xf>
    <xf numFmtId="179" fontId="24" fillId="3" borderId="0" xfId="0" applyNumberFormat="1" applyFont="1" applyFill="1" applyAlignment="1">
      <alignment horizontal="center" vertical="center"/>
    </xf>
    <xf numFmtId="0" fontId="3" fillId="0" borderId="0" xfId="0" applyFont="1" applyAlignment="1">
      <alignment horizontal="right"/>
    </xf>
    <xf numFmtId="183" fontId="3" fillId="0" borderId="0" xfId="0" applyNumberFormat="1" applyFont="1" applyAlignment="1">
      <alignment horizontal="center" vertical="center"/>
    </xf>
    <xf numFmtId="189" fontId="31" fillId="0" borderId="0" xfId="0" applyNumberFormat="1" applyFont="1" applyBorder="1" applyAlignment="1">
      <alignment horizontal="left" vertical="center"/>
    </xf>
    <xf numFmtId="0" fontId="0" fillId="7" borderId="0" xfId="0" applyFill="1" applyAlignment="1">
      <alignment vertical="center"/>
    </xf>
    <xf numFmtId="0" fontId="0" fillId="7" borderId="0" xfId="0" applyFill="1" applyAlignment="1">
      <alignment horizontal="center" vertical="center"/>
    </xf>
    <xf numFmtId="0" fontId="0" fillId="0" borderId="3" xfId="0" applyBorder="1" applyAlignment="1">
      <alignment horizontal="center" vertical="center"/>
    </xf>
    <xf numFmtId="0" fontId="0" fillId="0" borderId="20" xfId="0" applyBorder="1" applyAlignment="1">
      <alignment vertical="center"/>
    </xf>
    <xf numFmtId="0" fontId="0" fillId="0" borderId="35" xfId="0" applyBorder="1" applyAlignment="1">
      <alignment horizontal="center" vertical="center"/>
    </xf>
    <xf numFmtId="0" fontId="0" fillId="0" borderId="36" xfId="0" applyNumberFormat="1" applyBorder="1" applyAlignment="1">
      <alignment vertical="center"/>
    </xf>
    <xf numFmtId="0" fontId="0" fillId="0" borderId="17" xfId="0" applyBorder="1" applyAlignment="1">
      <alignment vertical="center"/>
    </xf>
    <xf numFmtId="0" fontId="0" fillId="0" borderId="37" xfId="0" applyNumberFormat="1" applyBorder="1" applyAlignment="1">
      <alignment vertical="center"/>
    </xf>
    <xf numFmtId="0" fontId="0" fillId="7" borderId="0" xfId="0" applyFill="1" applyBorder="1" applyAlignment="1">
      <alignment vertical="center"/>
    </xf>
    <xf numFmtId="177" fontId="1" fillId="0" borderId="0" xfId="0" applyNumberFormat="1" applyFont="1" applyAlignment="1" applyProtection="1">
      <alignment vertical="center"/>
      <protection locked="0"/>
    </xf>
    <xf numFmtId="190" fontId="3" fillId="0" borderId="32" xfId="17" applyNumberFormat="1" applyFont="1" applyBorder="1" applyAlignment="1" applyProtection="1">
      <alignment horizontal="center" vertical="center"/>
      <protection locked="0"/>
    </xf>
    <xf numFmtId="0" fontId="23" fillId="0" borderId="31" xfId="0" applyFont="1" applyBorder="1" applyAlignment="1">
      <alignment horizontal="center" vertical="top" wrapText="1"/>
    </xf>
    <xf numFmtId="0" fontId="0" fillId="0" borderId="14" xfId="0" applyFont="1" applyFill="1" applyBorder="1" applyAlignment="1">
      <alignment/>
    </xf>
    <xf numFmtId="0" fontId="0" fillId="0" borderId="30" xfId="0" applyBorder="1" applyAlignment="1">
      <alignment/>
    </xf>
    <xf numFmtId="0" fontId="0" fillId="0" borderId="31" xfId="0" applyBorder="1" applyAlignment="1">
      <alignment/>
    </xf>
    <xf numFmtId="0" fontId="0" fillId="0" borderId="7" xfId="0" applyBorder="1" applyAlignment="1">
      <alignment/>
    </xf>
    <xf numFmtId="186" fontId="0" fillId="6" borderId="14" xfId="0" applyNumberFormat="1" applyFill="1" applyBorder="1" applyAlignment="1">
      <alignment horizontal="right" vertical="center" indent="1"/>
    </xf>
    <xf numFmtId="38" fontId="0" fillId="6" borderId="14" xfId="17" applyFill="1" applyBorder="1" applyAlignment="1">
      <alignment horizontal="right" vertical="center" indent="1"/>
    </xf>
    <xf numFmtId="38" fontId="0" fillId="9" borderId="14" xfId="17" applyFill="1" applyBorder="1" applyAlignment="1">
      <alignment horizontal="right" vertical="center" indent="1"/>
    </xf>
    <xf numFmtId="0" fontId="33"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left" vertical="top" wrapText="1"/>
    </xf>
    <xf numFmtId="0" fontId="34" fillId="0" borderId="0" xfId="0" applyFont="1" applyAlignment="1">
      <alignment horizontal="right"/>
    </xf>
    <xf numFmtId="0" fontId="0" fillId="11" borderId="0" xfId="0" applyFill="1" applyAlignment="1">
      <alignment shrinkToFit="1"/>
    </xf>
    <xf numFmtId="9" fontId="0" fillId="0" borderId="0" xfId="0" applyNumberFormat="1" applyAlignment="1">
      <alignment/>
    </xf>
    <xf numFmtId="178" fontId="12" fillId="2" borderId="0" xfId="0" applyNumberFormat="1" applyFont="1" applyFill="1" applyAlignment="1">
      <alignment horizontal="right" vertical="center"/>
    </xf>
    <xf numFmtId="0" fontId="0" fillId="0" borderId="0" xfId="0" applyNumberFormat="1" applyAlignment="1">
      <alignment/>
    </xf>
    <xf numFmtId="0" fontId="36" fillId="0" borderId="0" xfId="0" applyFont="1" applyAlignment="1">
      <alignment horizontal="right"/>
    </xf>
    <xf numFmtId="0" fontId="35" fillId="0" borderId="0" xfId="0" applyFont="1" applyAlignment="1">
      <alignment/>
    </xf>
    <xf numFmtId="0" fontId="35" fillId="0" borderId="0" xfId="0" applyFont="1" applyAlignment="1">
      <alignment horizontal="left"/>
    </xf>
    <xf numFmtId="177" fontId="4" fillId="0" borderId="32" xfId="0" applyNumberFormat="1" applyFont="1" applyBorder="1" applyAlignment="1" applyProtection="1">
      <alignment horizontal="left" vertical="center"/>
      <protection locked="0"/>
    </xf>
    <xf numFmtId="0" fontId="36" fillId="0" borderId="0" xfId="0" applyFont="1" applyAlignment="1">
      <alignment/>
    </xf>
    <xf numFmtId="0" fontId="0" fillId="0" borderId="0" xfId="0" applyFont="1" applyAlignment="1">
      <alignment vertical="top" wrapText="1"/>
    </xf>
    <xf numFmtId="0" fontId="0" fillId="0" borderId="38" xfId="0" applyBorder="1" applyAlignment="1">
      <alignment vertical="center"/>
    </xf>
    <xf numFmtId="0" fontId="0" fillId="0" borderId="39" xfId="0" applyNumberFormat="1" applyBorder="1" applyAlignment="1">
      <alignment vertical="center"/>
    </xf>
    <xf numFmtId="0" fontId="0" fillId="0" borderId="40" xfId="0" applyBorder="1" applyAlignment="1">
      <alignment vertical="center"/>
    </xf>
    <xf numFmtId="0" fontId="0" fillId="0" borderId="41" xfId="0" applyNumberFormat="1" applyBorder="1" applyAlignment="1">
      <alignment vertical="center"/>
    </xf>
    <xf numFmtId="0" fontId="0" fillId="0" borderId="42" xfId="0" applyBorder="1" applyAlignment="1">
      <alignment vertical="center"/>
    </xf>
    <xf numFmtId="0" fontId="0" fillId="0" borderId="43" xfId="0" applyBorder="1" applyAlignment="1">
      <alignment horizontal="center" vertical="center"/>
    </xf>
    <xf numFmtId="0" fontId="0" fillId="0" borderId="44" xfId="0" applyNumberFormat="1" applyBorder="1" applyAlignment="1">
      <alignment vertical="center"/>
    </xf>
    <xf numFmtId="0" fontId="0" fillId="0" borderId="45" xfId="0" applyNumberFormat="1" applyBorder="1" applyAlignment="1">
      <alignment vertical="center"/>
    </xf>
    <xf numFmtId="0" fontId="0" fillId="0" borderId="46" xfId="0" applyBorder="1" applyAlignment="1">
      <alignment horizontal="center" vertical="center"/>
    </xf>
    <xf numFmtId="0" fontId="0" fillId="13" borderId="19" xfId="0" applyFill="1" applyBorder="1" applyAlignment="1">
      <alignment horizontal="center" vertical="center"/>
    </xf>
    <xf numFmtId="0" fontId="0" fillId="13" borderId="47" xfId="0" applyFill="1" applyBorder="1" applyAlignment="1">
      <alignment vertical="center"/>
    </xf>
    <xf numFmtId="178" fontId="0" fillId="13" borderId="36" xfId="0" applyNumberFormat="1" applyFill="1" applyBorder="1" applyAlignment="1">
      <alignment vertical="center"/>
    </xf>
    <xf numFmtId="178" fontId="0" fillId="13" borderId="37" xfId="0" applyNumberFormat="1" applyFill="1" applyBorder="1" applyAlignment="1">
      <alignment vertical="center"/>
    </xf>
    <xf numFmtId="0" fontId="0" fillId="13" borderId="3" xfId="0" applyFill="1" applyBorder="1" applyAlignment="1">
      <alignment horizontal="center" vertical="center"/>
    </xf>
    <xf numFmtId="0" fontId="0" fillId="13" borderId="20" xfId="0" applyFill="1" applyBorder="1" applyAlignment="1">
      <alignment vertical="center"/>
    </xf>
    <xf numFmtId="178" fontId="0" fillId="13" borderId="48" xfId="0" applyNumberFormat="1" applyFill="1" applyBorder="1" applyAlignment="1">
      <alignment vertical="center"/>
    </xf>
    <xf numFmtId="178" fontId="0" fillId="13" borderId="18" xfId="0" applyNumberFormat="1" applyFill="1" applyBorder="1" applyAlignment="1">
      <alignment vertical="center"/>
    </xf>
    <xf numFmtId="0" fontId="0" fillId="13" borderId="24" xfId="0" applyFill="1" applyBorder="1" applyAlignment="1">
      <alignment horizontal="center" vertical="center"/>
    </xf>
    <xf numFmtId="0" fontId="0" fillId="13" borderId="25" xfId="0" applyFill="1" applyBorder="1" applyAlignment="1">
      <alignment vertical="center"/>
    </xf>
    <xf numFmtId="192" fontId="0" fillId="13" borderId="49" xfId="0" applyNumberFormat="1" applyFill="1" applyBorder="1" applyAlignment="1">
      <alignment horizontal="right" vertical="center"/>
    </xf>
    <xf numFmtId="192" fontId="0" fillId="13" borderId="50" xfId="0" applyNumberFormat="1" applyFill="1" applyBorder="1" applyAlignment="1">
      <alignment horizontal="right" vertical="center"/>
    </xf>
    <xf numFmtId="0" fontId="0" fillId="6" borderId="51" xfId="0" applyFill="1" applyBorder="1" applyAlignment="1">
      <alignment vertical="center"/>
    </xf>
    <xf numFmtId="0" fontId="0" fillId="6" borderId="52" xfId="0" applyFill="1" applyBorder="1" applyAlignment="1">
      <alignment horizontal="center" vertical="center"/>
    </xf>
    <xf numFmtId="0" fontId="0" fillId="6" borderId="53" xfId="0" applyFill="1" applyBorder="1" applyAlignment="1">
      <alignment vertical="center"/>
    </xf>
    <xf numFmtId="178" fontId="0" fillId="6" borderId="54" xfId="0" applyNumberFormat="1" applyFill="1" applyBorder="1" applyAlignment="1">
      <alignment horizontal="right" vertical="center"/>
    </xf>
    <xf numFmtId="0" fontId="0" fillId="6" borderId="21" xfId="0" applyFill="1" applyBorder="1" applyAlignment="1">
      <alignment vertical="center"/>
    </xf>
    <xf numFmtId="0" fontId="0" fillId="6" borderId="3" xfId="0" applyFill="1" applyBorder="1" applyAlignment="1">
      <alignment horizontal="center" vertical="center"/>
    </xf>
    <xf numFmtId="0" fontId="0" fillId="6" borderId="20" xfId="0" applyFill="1" applyBorder="1" applyAlignment="1">
      <alignment vertical="center"/>
    </xf>
    <xf numFmtId="178" fontId="0" fillId="6" borderId="18" xfId="0" applyNumberFormat="1" applyFill="1" applyBorder="1" applyAlignment="1">
      <alignment horizontal="right" vertical="center"/>
    </xf>
    <xf numFmtId="0" fontId="0" fillId="6" borderId="26" xfId="0" applyFill="1" applyBorder="1" applyAlignment="1">
      <alignment vertical="center"/>
    </xf>
    <xf numFmtId="0" fontId="0" fillId="6" borderId="24" xfId="0" applyFill="1" applyBorder="1" applyAlignment="1">
      <alignment horizontal="center" vertical="center"/>
    </xf>
    <xf numFmtId="0" fontId="0" fillId="6" borderId="25" xfId="0" applyFill="1" applyBorder="1" applyAlignment="1">
      <alignment vertical="center"/>
    </xf>
    <xf numFmtId="178" fontId="0" fillId="6" borderId="50" xfId="0" applyNumberFormat="1" applyFill="1" applyBorder="1" applyAlignment="1">
      <alignment horizontal="right" vertical="center"/>
    </xf>
    <xf numFmtId="0" fontId="0" fillId="10" borderId="19" xfId="0" applyFill="1" applyBorder="1" applyAlignment="1">
      <alignment horizontal="center" vertical="center"/>
    </xf>
    <xf numFmtId="0" fontId="0" fillId="10" borderId="47" xfId="0" applyFill="1" applyBorder="1" applyAlignment="1">
      <alignment vertical="center"/>
    </xf>
    <xf numFmtId="38" fontId="0" fillId="10" borderId="36" xfId="17" applyFill="1" applyBorder="1" applyAlignment="1">
      <alignment vertical="center"/>
    </xf>
    <xf numFmtId="38" fontId="0" fillId="10" borderId="37" xfId="17" applyFill="1" applyBorder="1" applyAlignment="1">
      <alignment vertical="center"/>
    </xf>
    <xf numFmtId="0" fontId="0" fillId="10" borderId="23" xfId="0" applyFill="1" applyBorder="1" applyAlignment="1">
      <alignment horizontal="center" vertical="center"/>
    </xf>
    <xf numFmtId="0" fontId="0" fillId="10" borderId="55" xfId="0" applyFill="1" applyBorder="1" applyAlignment="1">
      <alignment vertical="center"/>
    </xf>
    <xf numFmtId="38" fontId="0" fillId="10" borderId="56" xfId="17" applyFill="1" applyBorder="1" applyAlignment="1">
      <alignment vertical="center"/>
    </xf>
    <xf numFmtId="38" fontId="0" fillId="10" borderId="57" xfId="17" applyFill="1" applyBorder="1" applyAlignment="1">
      <alignment vertical="center"/>
    </xf>
    <xf numFmtId="0" fontId="0" fillId="10" borderId="58" xfId="0" applyFill="1" applyBorder="1" applyAlignment="1">
      <alignment horizontal="center" vertical="center"/>
    </xf>
    <xf numFmtId="0" fontId="0" fillId="10" borderId="59" xfId="0" applyFill="1" applyBorder="1" applyAlignment="1">
      <alignment vertical="center"/>
    </xf>
    <xf numFmtId="38" fontId="0" fillId="10" borderId="60" xfId="17" applyFill="1" applyBorder="1" applyAlignment="1">
      <alignment vertical="center"/>
    </xf>
    <xf numFmtId="0" fontId="0" fillId="10" borderId="61" xfId="0" applyFill="1" applyBorder="1" applyAlignment="1">
      <alignment vertical="center"/>
    </xf>
    <xf numFmtId="38" fontId="0" fillId="10" borderId="62" xfId="17" applyFill="1" applyBorder="1" applyAlignment="1">
      <alignment vertical="center"/>
    </xf>
    <xf numFmtId="0" fontId="19" fillId="0" borderId="63"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64" xfId="0" applyFont="1" applyBorder="1" applyAlignment="1">
      <alignment horizontal="left" vertical="center" wrapText="1"/>
    </xf>
    <xf numFmtId="0" fontId="19" fillId="0" borderId="65" xfId="0" applyFont="1" applyBorder="1" applyAlignment="1">
      <alignment horizontal="left" vertical="center" wrapText="1"/>
    </xf>
    <xf numFmtId="0" fontId="19" fillId="0" borderId="10" xfId="0" applyFont="1" applyBorder="1" applyAlignment="1">
      <alignment horizontal="left" vertical="center" wrapText="1"/>
    </xf>
    <xf numFmtId="0" fontId="19" fillId="0" borderId="23" xfId="0" applyFont="1" applyBorder="1" applyAlignment="1">
      <alignment horizontal="center" vertical="center" wrapText="1"/>
    </xf>
    <xf numFmtId="0" fontId="19" fillId="0" borderId="65" xfId="0" applyFont="1" applyFill="1" applyBorder="1" applyAlignment="1">
      <alignment horizontal="left" vertical="center" wrapText="1"/>
    </xf>
    <xf numFmtId="0" fontId="19" fillId="0" borderId="66" xfId="0" applyFont="1" applyFill="1" applyBorder="1" applyAlignment="1">
      <alignment horizontal="left" vertical="center" wrapText="1"/>
    </xf>
    <xf numFmtId="0" fontId="19" fillId="0" borderId="23" xfId="0" applyFont="1" applyFill="1" applyBorder="1" applyAlignment="1">
      <alignment horizontal="center" vertical="center" wrapText="1"/>
    </xf>
    <xf numFmtId="0" fontId="0" fillId="0" borderId="0" xfId="0" applyFont="1" applyAlignment="1">
      <alignment horizontal="left" vertical="top" wrapText="1"/>
    </xf>
    <xf numFmtId="0" fontId="3" fillId="0" borderId="0" xfId="0" applyFont="1" applyAlignment="1">
      <alignment horizontal="center" vertical="center"/>
    </xf>
    <xf numFmtId="0" fontId="27" fillId="0" borderId="67" xfId="0" applyFont="1" applyBorder="1" applyAlignment="1" applyProtection="1">
      <alignment horizontal="left" vertical="center" shrinkToFit="1"/>
      <protection locked="0"/>
    </xf>
    <xf numFmtId="0" fontId="26" fillId="0" borderId="0" xfId="0" applyFont="1" applyAlignment="1">
      <alignment horizontal="left" vertical="center" wrapText="1"/>
    </xf>
    <xf numFmtId="0" fontId="0" fillId="13" borderId="66" xfId="0" applyFill="1" applyBorder="1" applyAlignment="1">
      <alignment horizontal="center" vertical="center"/>
    </xf>
    <xf numFmtId="0" fontId="0" fillId="13" borderId="19" xfId="0" applyFill="1" applyBorder="1" applyAlignment="1">
      <alignment horizontal="center" vertical="center"/>
    </xf>
    <xf numFmtId="0" fontId="0" fillId="13" borderId="21" xfId="0" applyFill="1" applyBorder="1" applyAlignment="1">
      <alignment horizontal="center" vertical="center"/>
    </xf>
    <xf numFmtId="0" fontId="0" fillId="13" borderId="3" xfId="0" applyFill="1" applyBorder="1" applyAlignment="1">
      <alignment horizontal="center" vertical="center"/>
    </xf>
    <xf numFmtId="0" fontId="0" fillId="13" borderId="26" xfId="0" applyFill="1" applyBorder="1" applyAlignment="1">
      <alignment horizontal="center" vertical="center"/>
    </xf>
    <xf numFmtId="0" fontId="0" fillId="13" borderId="24" xfId="0" applyFill="1" applyBorder="1" applyAlignment="1">
      <alignment horizontal="center" vertical="center"/>
    </xf>
    <xf numFmtId="0" fontId="0" fillId="0" borderId="46" xfId="0" applyBorder="1" applyAlignment="1">
      <alignment horizontal="center" vertical="center"/>
    </xf>
    <xf numFmtId="0" fontId="0" fillId="0" borderId="68" xfId="0" applyBorder="1" applyAlignment="1">
      <alignment horizontal="center" vertical="center"/>
    </xf>
    <xf numFmtId="0" fontId="0" fillId="10" borderId="66" xfId="0" applyFill="1" applyBorder="1" applyAlignment="1">
      <alignment horizontal="center" vertical="center"/>
    </xf>
    <xf numFmtId="0" fontId="0" fillId="10" borderId="19" xfId="0" applyFill="1" applyBorder="1" applyAlignment="1">
      <alignment horizontal="center" vertical="center"/>
    </xf>
    <xf numFmtId="0" fontId="0" fillId="10" borderId="64" xfId="0" applyFill="1" applyBorder="1" applyAlignment="1">
      <alignment horizontal="center" vertical="center"/>
    </xf>
    <xf numFmtId="0" fontId="0" fillId="10" borderId="23" xfId="0" applyFill="1" applyBorder="1" applyAlignment="1">
      <alignment horizontal="center" vertical="center"/>
    </xf>
    <xf numFmtId="0" fontId="0" fillId="10" borderId="69" xfId="0" applyFill="1" applyBorder="1" applyAlignment="1">
      <alignment horizontal="center" vertical="center"/>
    </xf>
    <xf numFmtId="0" fontId="0" fillId="10" borderId="58" xfId="0" applyFill="1" applyBorder="1" applyAlignment="1">
      <alignment horizontal="center" vertical="center"/>
    </xf>
    <xf numFmtId="0" fontId="0" fillId="0" borderId="70" xfId="0" applyBorder="1" applyAlignment="1">
      <alignment horizontal="center" vertical="center" wrapText="1"/>
    </xf>
    <xf numFmtId="0" fontId="0" fillId="0" borderId="65"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vertical="center"/>
    </xf>
    <xf numFmtId="0" fontId="0" fillId="0" borderId="73" xfId="0" applyBorder="1" applyAlignment="1">
      <alignment vertical="center"/>
    </xf>
    <xf numFmtId="0" fontId="27" fillId="0" borderId="67" xfId="0" applyFont="1" applyBorder="1" applyAlignment="1" applyProtection="1">
      <alignment horizontal="left" vertical="center"/>
      <protection locked="0"/>
    </xf>
    <xf numFmtId="0" fontId="19" fillId="0" borderId="74"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64" xfId="0" applyFont="1" applyFill="1" applyBorder="1" applyAlignment="1">
      <alignment horizontal="left" vertical="center" wrapText="1"/>
    </xf>
    <xf numFmtId="0" fontId="19" fillId="0" borderId="63" xfId="0" applyFont="1" applyBorder="1" applyAlignment="1">
      <alignment horizontal="center" vertical="center" wrapText="1"/>
    </xf>
    <xf numFmtId="0" fontId="19" fillId="0" borderId="75" xfId="0" applyFont="1" applyBorder="1" applyAlignment="1">
      <alignment horizontal="center" vertical="center" wrapText="1"/>
    </xf>
    <xf numFmtId="0" fontId="19" fillId="0" borderId="76" xfId="0" applyFont="1" applyFill="1" applyBorder="1" applyAlignment="1">
      <alignment horizontal="center" vertical="center" wrapText="1"/>
    </xf>
    <xf numFmtId="0" fontId="19" fillId="0" borderId="7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19" fillId="0" borderId="78"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51" xfId="0" applyFont="1" applyBorder="1" applyAlignment="1">
      <alignment horizontal="center" vertical="center"/>
    </xf>
    <xf numFmtId="0" fontId="19" fillId="0" borderId="79" xfId="0" applyFont="1" applyBorder="1" applyAlignment="1">
      <alignment horizontal="center" vertical="center"/>
    </xf>
    <xf numFmtId="0" fontId="19" fillId="0" borderId="80" xfId="0" applyFont="1" applyBorder="1" applyAlignment="1">
      <alignment horizontal="center" vertical="center"/>
    </xf>
    <xf numFmtId="0" fontId="19" fillId="0" borderId="81" xfId="0" applyFont="1" applyBorder="1" applyAlignment="1">
      <alignment horizontal="center" vertical="center"/>
    </xf>
    <xf numFmtId="0" fontId="19" fillId="0" borderId="17" xfId="0" applyFont="1" applyBorder="1" applyAlignment="1">
      <alignment horizontal="center" vertical="center"/>
    </xf>
    <xf numFmtId="0" fontId="19" fillId="0" borderId="20" xfId="0" applyFont="1" applyBorder="1" applyAlignment="1">
      <alignment horizontal="center" vertical="center"/>
    </xf>
    <xf numFmtId="0" fontId="19" fillId="0" borderId="18" xfId="0" applyFont="1" applyBorder="1" applyAlignment="1">
      <alignment horizontal="center" vertical="center"/>
    </xf>
    <xf numFmtId="0" fontId="19" fillId="0" borderId="82" xfId="0" applyFont="1" applyBorder="1" applyAlignment="1">
      <alignment horizontal="center" vertical="center"/>
    </xf>
    <xf numFmtId="0" fontId="19" fillId="0" borderId="65" xfId="0" applyFont="1" applyBorder="1" applyAlignment="1">
      <alignment horizontal="center" vertical="center"/>
    </xf>
    <xf numFmtId="0" fontId="19" fillId="0" borderId="66" xfId="0" applyFont="1" applyBorder="1" applyAlignment="1">
      <alignment horizontal="center" vertical="center"/>
    </xf>
    <xf numFmtId="0" fontId="19" fillId="0" borderId="83"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7" xfId="0" applyFont="1" applyBorder="1" applyAlignment="1">
      <alignment horizontal="center" vertical="center" wrapText="1"/>
    </xf>
    <xf numFmtId="0" fontId="19" fillId="0" borderId="84" xfId="0" applyFont="1" applyBorder="1" applyAlignment="1">
      <alignment horizontal="center" vertical="center"/>
    </xf>
    <xf numFmtId="0" fontId="19" fillId="0" borderId="63" xfId="0" applyFont="1" applyBorder="1" applyAlignment="1">
      <alignment horizontal="center" vertical="center"/>
    </xf>
    <xf numFmtId="0" fontId="19" fillId="0" borderId="19" xfId="0" applyFont="1" applyBorder="1" applyAlignment="1">
      <alignment horizontal="center" vertical="center"/>
    </xf>
    <xf numFmtId="0" fontId="19" fillId="0" borderId="84" xfId="0" applyFont="1" applyFill="1" applyBorder="1" applyAlignment="1">
      <alignment horizontal="center" vertical="center"/>
    </xf>
    <xf numFmtId="0" fontId="19" fillId="0" borderId="19"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314325</xdr:colOff>
      <xdr:row>32</xdr:row>
      <xdr:rowOff>95250</xdr:rowOff>
    </xdr:from>
    <xdr:to>
      <xdr:col>8</xdr:col>
      <xdr:colOff>647700</xdr:colOff>
      <xdr:row>34</xdr:row>
      <xdr:rowOff>85725</xdr:rowOff>
    </xdr:to>
    <xdr:sp>
      <xdr:nvSpPr>
        <xdr:cNvPr id="1" name="Rectangle 1"/>
        <xdr:cNvSpPr>
          <a:spLocks/>
        </xdr:cNvSpPr>
      </xdr:nvSpPr>
      <xdr:spPr>
        <a:xfrm>
          <a:off x="4943475" y="6419850"/>
          <a:ext cx="333375" cy="333375"/>
        </a:xfrm>
        <a:prstGeom prst="round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削除</a:t>
          </a:r>
        </a:p>
      </xdr:txBody>
    </xdr:sp>
    <xdr:clientData/>
  </xdr:twoCellAnchor>
  <xdr:twoCellAnchor>
    <xdr:from>
      <xdr:col>4</xdr:col>
      <xdr:colOff>428625</xdr:colOff>
      <xdr:row>19</xdr:row>
      <xdr:rowOff>152400</xdr:rowOff>
    </xdr:from>
    <xdr:to>
      <xdr:col>5</xdr:col>
      <xdr:colOff>180975</xdr:colOff>
      <xdr:row>21</xdr:row>
      <xdr:rowOff>19050</xdr:rowOff>
    </xdr:to>
    <xdr:sp>
      <xdr:nvSpPr>
        <xdr:cNvPr id="2" name="ボタン_現行"/>
        <xdr:cNvSpPr>
          <a:spLocks/>
        </xdr:cNvSpPr>
      </xdr:nvSpPr>
      <xdr:spPr>
        <a:xfrm>
          <a:off x="2314575" y="3752850"/>
          <a:ext cx="438150" cy="209550"/>
        </a:xfrm>
        <a:prstGeom prst="round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作成</a:t>
          </a:r>
        </a:p>
      </xdr:txBody>
    </xdr:sp>
    <xdr:clientData fPrintsWithSheet="0"/>
  </xdr:twoCellAnchor>
  <xdr:twoCellAnchor>
    <xdr:from>
      <xdr:col>5</xdr:col>
      <xdr:colOff>95250</xdr:colOff>
      <xdr:row>31</xdr:row>
      <xdr:rowOff>419100</xdr:rowOff>
    </xdr:from>
    <xdr:to>
      <xdr:col>7</xdr:col>
      <xdr:colOff>266700</xdr:colOff>
      <xdr:row>31</xdr:row>
      <xdr:rowOff>600075</xdr:rowOff>
    </xdr:to>
    <xdr:sp>
      <xdr:nvSpPr>
        <xdr:cNvPr id="3" name="Rectangle 3"/>
        <xdr:cNvSpPr>
          <a:spLocks/>
        </xdr:cNvSpPr>
      </xdr:nvSpPr>
      <xdr:spPr>
        <a:xfrm>
          <a:off x="2667000" y="6076950"/>
          <a:ext cx="1543050" cy="180975"/>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帰り便空車算定 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205</xdr:row>
      <xdr:rowOff>57150</xdr:rowOff>
    </xdr:from>
    <xdr:to>
      <xdr:col>1</xdr:col>
      <xdr:colOff>466725</xdr:colOff>
      <xdr:row>205</xdr:row>
      <xdr:rowOff>266700</xdr:rowOff>
    </xdr:to>
    <xdr:sp macro="[0]!ADD_IN">
      <xdr:nvSpPr>
        <xdr:cNvPr id="1" name="ボタン_現行"/>
        <xdr:cNvSpPr>
          <a:spLocks/>
        </xdr:cNvSpPr>
      </xdr:nvSpPr>
      <xdr:spPr>
        <a:xfrm>
          <a:off x="28575" y="34242375"/>
          <a:ext cx="438150" cy="209550"/>
        </a:xfrm>
        <a:prstGeom prst="round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作成</a:t>
          </a:r>
        </a:p>
      </xdr:txBody>
    </xdr:sp>
    <xdr:clientData fPrintsWithSheet="0"/>
  </xdr:twoCellAnchor>
  <xdr:twoCellAnchor>
    <xdr:from>
      <xdr:col>1</xdr:col>
      <xdr:colOff>47625</xdr:colOff>
      <xdr:row>257</xdr:row>
      <xdr:rowOff>66675</xdr:rowOff>
    </xdr:from>
    <xdr:to>
      <xdr:col>1</xdr:col>
      <xdr:colOff>485775</xdr:colOff>
      <xdr:row>257</xdr:row>
      <xdr:rowOff>276225</xdr:rowOff>
    </xdr:to>
    <xdr:sp macro="[0]!ADD_IN">
      <xdr:nvSpPr>
        <xdr:cNvPr id="2" name="ボタン_事業後"/>
        <xdr:cNvSpPr>
          <a:spLocks/>
        </xdr:cNvSpPr>
      </xdr:nvSpPr>
      <xdr:spPr>
        <a:xfrm>
          <a:off x="47625" y="43081575"/>
          <a:ext cx="438150" cy="209550"/>
        </a:xfrm>
        <a:prstGeom prst="round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作成</a:t>
          </a:r>
        </a:p>
      </xdr:txBody>
    </xdr:sp>
    <xdr:clientData fPrintsWithSheet="0"/>
  </xdr:twoCellAnchor>
  <xdr:twoCellAnchor>
    <xdr:from>
      <xdr:col>1</xdr:col>
      <xdr:colOff>104775</xdr:colOff>
      <xdr:row>5</xdr:row>
      <xdr:rowOff>152400</xdr:rowOff>
    </xdr:from>
    <xdr:to>
      <xdr:col>1</xdr:col>
      <xdr:colOff>438150</xdr:colOff>
      <xdr:row>7</xdr:row>
      <xdr:rowOff>123825</xdr:rowOff>
    </xdr:to>
    <xdr:sp macro="[0]!DEL_IN">
      <xdr:nvSpPr>
        <xdr:cNvPr id="3" name="Rectangle 167"/>
        <xdr:cNvSpPr>
          <a:spLocks/>
        </xdr:cNvSpPr>
      </xdr:nvSpPr>
      <xdr:spPr>
        <a:xfrm>
          <a:off x="104775" y="1038225"/>
          <a:ext cx="333375" cy="333375"/>
        </a:xfrm>
        <a:prstGeom prst="round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削除</a:t>
          </a:r>
        </a:p>
      </xdr:txBody>
    </xdr:sp>
    <xdr:clientData fPrintsWithSheet="0"/>
  </xdr:twoCellAnchor>
  <xdr:twoCellAnchor>
    <xdr:from>
      <xdr:col>1</xdr:col>
      <xdr:colOff>104775</xdr:colOff>
      <xdr:row>30</xdr:row>
      <xdr:rowOff>152400</xdr:rowOff>
    </xdr:from>
    <xdr:to>
      <xdr:col>1</xdr:col>
      <xdr:colOff>438150</xdr:colOff>
      <xdr:row>32</xdr:row>
      <xdr:rowOff>123825</xdr:rowOff>
    </xdr:to>
    <xdr:sp macro="[0]!DEL_IN">
      <xdr:nvSpPr>
        <xdr:cNvPr id="4" name="Rectangle 169"/>
        <xdr:cNvSpPr>
          <a:spLocks/>
        </xdr:cNvSpPr>
      </xdr:nvSpPr>
      <xdr:spPr>
        <a:xfrm>
          <a:off x="104775" y="5200650"/>
          <a:ext cx="333375" cy="333375"/>
        </a:xfrm>
        <a:prstGeom prst="round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削除</a:t>
          </a:r>
        </a:p>
      </xdr:txBody>
    </xdr:sp>
    <xdr:clientData fPrintsWithSheet="0"/>
  </xdr:twoCellAnchor>
  <xdr:twoCellAnchor>
    <xdr:from>
      <xdr:col>1</xdr:col>
      <xdr:colOff>104775</xdr:colOff>
      <xdr:row>55</xdr:row>
      <xdr:rowOff>152400</xdr:rowOff>
    </xdr:from>
    <xdr:to>
      <xdr:col>1</xdr:col>
      <xdr:colOff>438150</xdr:colOff>
      <xdr:row>57</xdr:row>
      <xdr:rowOff>123825</xdr:rowOff>
    </xdr:to>
    <xdr:sp macro="[0]!DEL_IN">
      <xdr:nvSpPr>
        <xdr:cNvPr id="5" name="Rectangle 170"/>
        <xdr:cNvSpPr>
          <a:spLocks/>
        </xdr:cNvSpPr>
      </xdr:nvSpPr>
      <xdr:spPr>
        <a:xfrm>
          <a:off x="104775" y="9363075"/>
          <a:ext cx="333375" cy="333375"/>
        </a:xfrm>
        <a:prstGeom prst="round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削除</a:t>
          </a:r>
        </a:p>
      </xdr:txBody>
    </xdr:sp>
    <xdr:clientData fPrintsWithSheet="0"/>
  </xdr:twoCellAnchor>
  <xdr:twoCellAnchor>
    <xdr:from>
      <xdr:col>1</xdr:col>
      <xdr:colOff>104775</xdr:colOff>
      <xdr:row>80</xdr:row>
      <xdr:rowOff>152400</xdr:rowOff>
    </xdr:from>
    <xdr:to>
      <xdr:col>1</xdr:col>
      <xdr:colOff>438150</xdr:colOff>
      <xdr:row>82</xdr:row>
      <xdr:rowOff>123825</xdr:rowOff>
    </xdr:to>
    <xdr:sp macro="[0]!DEL_IN">
      <xdr:nvSpPr>
        <xdr:cNvPr id="6" name="Rectangle 171"/>
        <xdr:cNvSpPr>
          <a:spLocks/>
        </xdr:cNvSpPr>
      </xdr:nvSpPr>
      <xdr:spPr>
        <a:xfrm>
          <a:off x="104775" y="13525500"/>
          <a:ext cx="333375" cy="333375"/>
        </a:xfrm>
        <a:prstGeom prst="round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削除</a:t>
          </a:r>
        </a:p>
      </xdr:txBody>
    </xdr:sp>
    <xdr:clientData fPrintsWithSheet="0"/>
  </xdr:twoCellAnchor>
  <xdr:twoCellAnchor>
    <xdr:from>
      <xdr:col>1</xdr:col>
      <xdr:colOff>104775</xdr:colOff>
      <xdr:row>105</xdr:row>
      <xdr:rowOff>152400</xdr:rowOff>
    </xdr:from>
    <xdr:to>
      <xdr:col>1</xdr:col>
      <xdr:colOff>438150</xdr:colOff>
      <xdr:row>107</xdr:row>
      <xdr:rowOff>123825</xdr:rowOff>
    </xdr:to>
    <xdr:sp macro="[0]!DEL_IN">
      <xdr:nvSpPr>
        <xdr:cNvPr id="7" name="Rectangle 172"/>
        <xdr:cNvSpPr>
          <a:spLocks/>
        </xdr:cNvSpPr>
      </xdr:nvSpPr>
      <xdr:spPr>
        <a:xfrm>
          <a:off x="104775" y="17687925"/>
          <a:ext cx="333375" cy="333375"/>
        </a:xfrm>
        <a:prstGeom prst="round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削除</a:t>
          </a:r>
        </a:p>
      </xdr:txBody>
    </xdr:sp>
    <xdr:clientData fPrintsWithSheet="0"/>
  </xdr:twoCellAnchor>
  <xdr:twoCellAnchor>
    <xdr:from>
      <xdr:col>1</xdr:col>
      <xdr:colOff>104775</xdr:colOff>
      <xdr:row>130</xdr:row>
      <xdr:rowOff>152400</xdr:rowOff>
    </xdr:from>
    <xdr:to>
      <xdr:col>1</xdr:col>
      <xdr:colOff>438150</xdr:colOff>
      <xdr:row>132</xdr:row>
      <xdr:rowOff>123825</xdr:rowOff>
    </xdr:to>
    <xdr:sp macro="[0]!DEL_IN">
      <xdr:nvSpPr>
        <xdr:cNvPr id="8" name="Rectangle 173"/>
        <xdr:cNvSpPr>
          <a:spLocks/>
        </xdr:cNvSpPr>
      </xdr:nvSpPr>
      <xdr:spPr>
        <a:xfrm>
          <a:off x="104775" y="21850350"/>
          <a:ext cx="333375" cy="333375"/>
        </a:xfrm>
        <a:prstGeom prst="round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削除</a:t>
          </a:r>
        </a:p>
      </xdr:txBody>
    </xdr:sp>
    <xdr:clientData fPrintsWithSheet="0"/>
  </xdr:twoCellAnchor>
  <xdr:twoCellAnchor>
    <xdr:from>
      <xdr:col>1</xdr:col>
      <xdr:colOff>104775</xdr:colOff>
      <xdr:row>155</xdr:row>
      <xdr:rowOff>152400</xdr:rowOff>
    </xdr:from>
    <xdr:to>
      <xdr:col>1</xdr:col>
      <xdr:colOff>438150</xdr:colOff>
      <xdr:row>157</xdr:row>
      <xdr:rowOff>123825</xdr:rowOff>
    </xdr:to>
    <xdr:sp macro="[0]!DEL_IN">
      <xdr:nvSpPr>
        <xdr:cNvPr id="9" name="Rectangle 174"/>
        <xdr:cNvSpPr>
          <a:spLocks/>
        </xdr:cNvSpPr>
      </xdr:nvSpPr>
      <xdr:spPr>
        <a:xfrm>
          <a:off x="104775" y="26012775"/>
          <a:ext cx="333375" cy="333375"/>
        </a:xfrm>
        <a:prstGeom prst="round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削除</a:t>
          </a:r>
        </a:p>
      </xdr:txBody>
    </xdr:sp>
    <xdr:clientData fPrintsWithSheet="0"/>
  </xdr:twoCellAnchor>
  <xdr:twoCellAnchor>
    <xdr:from>
      <xdr:col>1</xdr:col>
      <xdr:colOff>104775</xdr:colOff>
      <xdr:row>180</xdr:row>
      <xdr:rowOff>152400</xdr:rowOff>
    </xdr:from>
    <xdr:to>
      <xdr:col>1</xdr:col>
      <xdr:colOff>438150</xdr:colOff>
      <xdr:row>182</xdr:row>
      <xdr:rowOff>123825</xdr:rowOff>
    </xdr:to>
    <xdr:sp macro="[0]!DEL_IN">
      <xdr:nvSpPr>
        <xdr:cNvPr id="10" name="Rectangle 175"/>
        <xdr:cNvSpPr>
          <a:spLocks/>
        </xdr:cNvSpPr>
      </xdr:nvSpPr>
      <xdr:spPr>
        <a:xfrm>
          <a:off x="104775" y="30175200"/>
          <a:ext cx="333375" cy="333375"/>
        </a:xfrm>
        <a:prstGeom prst="round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削除</a:t>
          </a:r>
        </a:p>
      </xdr:txBody>
    </xdr:sp>
    <xdr:clientData fPrintsWithSheet="0"/>
  </xdr:twoCellAnchor>
  <xdr:twoCellAnchor>
    <xdr:from>
      <xdr:col>1</xdr:col>
      <xdr:colOff>104775</xdr:colOff>
      <xdr:row>207</xdr:row>
      <xdr:rowOff>152400</xdr:rowOff>
    </xdr:from>
    <xdr:to>
      <xdr:col>1</xdr:col>
      <xdr:colOff>438150</xdr:colOff>
      <xdr:row>209</xdr:row>
      <xdr:rowOff>123825</xdr:rowOff>
    </xdr:to>
    <xdr:sp macro="[0]!DEL_IN">
      <xdr:nvSpPr>
        <xdr:cNvPr id="11" name="Rectangle 176"/>
        <xdr:cNvSpPr>
          <a:spLocks/>
        </xdr:cNvSpPr>
      </xdr:nvSpPr>
      <xdr:spPr>
        <a:xfrm>
          <a:off x="104775" y="34842450"/>
          <a:ext cx="333375" cy="333375"/>
        </a:xfrm>
        <a:prstGeom prst="round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削除</a:t>
          </a:r>
        </a:p>
      </xdr:txBody>
    </xdr:sp>
    <xdr:clientData fPrintsWithSheet="0"/>
  </xdr:twoCellAnchor>
  <xdr:twoCellAnchor>
    <xdr:from>
      <xdr:col>1</xdr:col>
      <xdr:colOff>104775</xdr:colOff>
      <xdr:row>232</xdr:row>
      <xdr:rowOff>152400</xdr:rowOff>
    </xdr:from>
    <xdr:to>
      <xdr:col>1</xdr:col>
      <xdr:colOff>438150</xdr:colOff>
      <xdr:row>234</xdr:row>
      <xdr:rowOff>123825</xdr:rowOff>
    </xdr:to>
    <xdr:sp macro="[0]!DEL_IN">
      <xdr:nvSpPr>
        <xdr:cNvPr id="12" name="Rectangle 177"/>
        <xdr:cNvSpPr>
          <a:spLocks/>
        </xdr:cNvSpPr>
      </xdr:nvSpPr>
      <xdr:spPr>
        <a:xfrm>
          <a:off x="104775" y="39004875"/>
          <a:ext cx="333375" cy="333375"/>
        </a:xfrm>
        <a:prstGeom prst="round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削除</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1295400</xdr:colOff>
      <xdr:row>0</xdr:row>
      <xdr:rowOff>76200</xdr:rowOff>
    </xdr:from>
    <xdr:to>
      <xdr:col>8</xdr:col>
      <xdr:colOff>619125</xdr:colOff>
      <xdr:row>2</xdr:row>
      <xdr:rowOff>85725</xdr:rowOff>
    </xdr:to>
    <xdr:sp>
      <xdr:nvSpPr>
        <xdr:cNvPr id="1" name="TextBox 1"/>
        <xdr:cNvSpPr txBox="1">
          <a:spLocks noChangeArrowheads="1"/>
        </xdr:cNvSpPr>
      </xdr:nvSpPr>
      <xdr:spPr>
        <a:xfrm>
          <a:off x="4286250" y="76200"/>
          <a:ext cx="2247900" cy="361950"/>
        </a:xfrm>
        <a:prstGeom prst="rect">
          <a:avLst/>
        </a:prstGeom>
        <a:noFill/>
        <a:ln w="38100" cmpd="dbl">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この欄は自動計算されません。
忘れずにご記入下さい。</a:t>
          </a:r>
        </a:p>
      </xdr:txBody>
    </xdr:sp>
    <xdr:clientData/>
  </xdr:twoCellAnchor>
  <xdr:twoCellAnchor>
    <xdr:from>
      <xdr:col>6</xdr:col>
      <xdr:colOff>66675</xdr:colOff>
      <xdr:row>2</xdr:row>
      <xdr:rowOff>104775</xdr:rowOff>
    </xdr:from>
    <xdr:to>
      <xdr:col>7</xdr:col>
      <xdr:colOff>66675</xdr:colOff>
      <xdr:row>2</xdr:row>
      <xdr:rowOff>266700</xdr:rowOff>
    </xdr:to>
    <xdr:sp>
      <xdr:nvSpPr>
        <xdr:cNvPr id="2" name="Line 2"/>
        <xdr:cNvSpPr>
          <a:spLocks/>
        </xdr:cNvSpPr>
      </xdr:nvSpPr>
      <xdr:spPr>
        <a:xfrm flipH="1">
          <a:off x="4410075" y="457200"/>
          <a:ext cx="161925" cy="161925"/>
        </a:xfrm>
        <a:prstGeom prst="line">
          <a:avLst/>
        </a:prstGeom>
        <a:noFill/>
        <a:ln w="158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2</xdr:row>
      <xdr:rowOff>285750</xdr:rowOff>
    </xdr:from>
    <xdr:to>
      <xdr:col>8</xdr:col>
      <xdr:colOff>38100</xdr:colOff>
      <xdr:row>5</xdr:row>
      <xdr:rowOff>47625</xdr:rowOff>
    </xdr:to>
    <xdr:sp>
      <xdr:nvSpPr>
        <xdr:cNvPr id="3" name="Rectangle 3"/>
        <xdr:cNvSpPr>
          <a:spLocks/>
        </xdr:cNvSpPr>
      </xdr:nvSpPr>
      <xdr:spPr>
        <a:xfrm>
          <a:off x="2762250" y="638175"/>
          <a:ext cx="3190875" cy="704850"/>
        </a:xfrm>
        <a:prstGeom prst="roundRect">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733425</xdr:colOff>
      <xdr:row>3</xdr:row>
      <xdr:rowOff>9525</xdr:rowOff>
    </xdr:from>
    <xdr:to>
      <xdr:col>6</xdr:col>
      <xdr:colOff>85725</xdr:colOff>
      <xdr:row>4</xdr:row>
      <xdr:rowOff>0</xdr:rowOff>
    </xdr:to>
    <xdr:sp>
      <xdr:nvSpPr>
        <xdr:cNvPr id="4" name="Oval 4"/>
        <xdr:cNvSpPr>
          <a:spLocks/>
        </xdr:cNvSpPr>
      </xdr:nvSpPr>
      <xdr:spPr>
        <a:xfrm>
          <a:off x="3724275" y="676275"/>
          <a:ext cx="704850" cy="304800"/>
        </a:xfrm>
        <a:prstGeom prst="ellipse">
          <a:avLst/>
        </a:prstGeom>
        <a:noFill/>
        <a:ln w="12700"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800100</xdr:colOff>
      <xdr:row>3</xdr:row>
      <xdr:rowOff>0</xdr:rowOff>
    </xdr:from>
    <xdr:to>
      <xdr:col>8</xdr:col>
      <xdr:colOff>95250</xdr:colOff>
      <xdr:row>3</xdr:row>
      <xdr:rowOff>304800</xdr:rowOff>
    </xdr:to>
    <xdr:sp>
      <xdr:nvSpPr>
        <xdr:cNvPr id="5" name="Oval 5"/>
        <xdr:cNvSpPr>
          <a:spLocks/>
        </xdr:cNvSpPr>
      </xdr:nvSpPr>
      <xdr:spPr>
        <a:xfrm>
          <a:off x="5305425" y="666750"/>
          <a:ext cx="704850" cy="304800"/>
        </a:xfrm>
        <a:prstGeom prst="ellipse">
          <a:avLst/>
        </a:prstGeom>
        <a:noFill/>
        <a:ln w="12700"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5</xdr:row>
      <xdr:rowOff>276225</xdr:rowOff>
    </xdr:from>
    <xdr:to>
      <xdr:col>8</xdr:col>
      <xdr:colOff>609600</xdr:colOff>
      <xdr:row>7</xdr:row>
      <xdr:rowOff>76200</xdr:rowOff>
    </xdr:to>
    <xdr:sp>
      <xdr:nvSpPr>
        <xdr:cNvPr id="6" name="TextBox 6"/>
        <xdr:cNvSpPr txBox="1">
          <a:spLocks noChangeArrowheads="1"/>
        </xdr:cNvSpPr>
      </xdr:nvSpPr>
      <xdr:spPr>
        <a:xfrm>
          <a:off x="4495800" y="1571625"/>
          <a:ext cx="2028825" cy="428625"/>
        </a:xfrm>
        <a:prstGeom prst="rect">
          <a:avLst/>
        </a:prstGeom>
        <a:noFill/>
        <a:ln w="38100" cmpd="dbl">
          <a:solidFill>
            <a:srgbClr val="FF6600"/>
          </a:solidFill>
          <a:headEnd type="none"/>
          <a:tailEnd type="none"/>
        </a:ln>
      </xdr:spPr>
      <xdr:txBody>
        <a:bodyPr vertOverflow="clip" wrap="square" anchor="ctr"/>
        <a:p>
          <a:pPr algn="ctr">
            <a:defRPr/>
          </a:pPr>
          <a:r>
            <a:rPr lang="en-US" cap="none" sz="1100" b="1" i="0" u="none" baseline="0">
              <a:solidFill>
                <a:srgbClr val="FF6600"/>
              </a:solidFill>
              <a:latin typeface="ＭＳ Ｐゴシック"/>
              <a:ea typeface="ＭＳ Ｐゴシック"/>
              <a:cs typeface="ＭＳ Ｐゴシック"/>
            </a:rPr>
            <a:t>特別な理由がない限り
a=a'としてください。</a:t>
          </a:r>
        </a:p>
      </xdr:txBody>
    </xdr:sp>
    <xdr:clientData/>
  </xdr:twoCellAnchor>
  <xdr:twoCellAnchor>
    <xdr:from>
      <xdr:col>5</xdr:col>
      <xdr:colOff>1304925</xdr:colOff>
      <xdr:row>4</xdr:row>
      <xdr:rowOff>0</xdr:rowOff>
    </xdr:from>
    <xdr:to>
      <xdr:col>7</xdr:col>
      <xdr:colOff>342900</xdr:colOff>
      <xdr:row>5</xdr:row>
      <xdr:rowOff>257175</xdr:rowOff>
    </xdr:to>
    <xdr:sp>
      <xdr:nvSpPr>
        <xdr:cNvPr id="7" name="Line 7"/>
        <xdr:cNvSpPr>
          <a:spLocks/>
        </xdr:cNvSpPr>
      </xdr:nvSpPr>
      <xdr:spPr>
        <a:xfrm flipH="1" flipV="1">
          <a:off x="4295775" y="981075"/>
          <a:ext cx="552450" cy="571500"/>
        </a:xfrm>
        <a:prstGeom prst="line">
          <a:avLst/>
        </a:prstGeom>
        <a:noFill/>
        <a:ln w="9525" cmpd="sng">
          <a:solidFill>
            <a:srgbClr val="FF66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333375</xdr:colOff>
      <xdr:row>3</xdr:row>
      <xdr:rowOff>304800</xdr:rowOff>
    </xdr:from>
    <xdr:to>
      <xdr:col>7</xdr:col>
      <xdr:colOff>971550</xdr:colOff>
      <xdr:row>5</xdr:row>
      <xdr:rowOff>257175</xdr:rowOff>
    </xdr:to>
    <xdr:sp>
      <xdr:nvSpPr>
        <xdr:cNvPr id="8" name="Line 8"/>
        <xdr:cNvSpPr>
          <a:spLocks/>
        </xdr:cNvSpPr>
      </xdr:nvSpPr>
      <xdr:spPr>
        <a:xfrm flipV="1">
          <a:off x="4838700" y="971550"/>
          <a:ext cx="638175" cy="581025"/>
        </a:xfrm>
        <a:prstGeom prst="line">
          <a:avLst/>
        </a:prstGeom>
        <a:noFill/>
        <a:ln w="9525" cmpd="sng">
          <a:solidFill>
            <a:srgbClr val="FF66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152400</xdr:rowOff>
    </xdr:from>
    <xdr:to>
      <xdr:col>1</xdr:col>
      <xdr:colOff>438150</xdr:colOff>
      <xdr:row>3</xdr:row>
      <xdr:rowOff>123825</xdr:rowOff>
    </xdr:to>
    <xdr:sp macro="[0]!DEL_IN">
      <xdr:nvSpPr>
        <xdr:cNvPr id="1" name="Rectangle 5"/>
        <xdr:cNvSpPr>
          <a:spLocks/>
        </xdr:cNvSpPr>
      </xdr:nvSpPr>
      <xdr:spPr>
        <a:xfrm>
          <a:off x="647700" y="333375"/>
          <a:ext cx="333375" cy="333375"/>
        </a:xfrm>
        <a:prstGeom prst="round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削除</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9">
    <pageSetUpPr fitToPage="1"/>
  </sheetPr>
  <dimension ref="A2:M94"/>
  <sheetViews>
    <sheetView workbookViewId="0" topLeftCell="A28">
      <selection activeCell="E13" sqref="E13"/>
    </sheetView>
  </sheetViews>
  <sheetFormatPr defaultColWidth="9.00390625" defaultRowHeight="13.5"/>
  <cols>
    <col min="1" max="1" width="6.375" style="216" customWidth="1"/>
    <col min="2" max="2" width="5.00390625" style="216" customWidth="1"/>
    <col min="3" max="3" width="6.375" style="216" customWidth="1"/>
    <col min="4" max="4" width="7.00390625" style="216" customWidth="1"/>
    <col min="5" max="16384" width="9.00390625" style="216" customWidth="1"/>
  </cols>
  <sheetData>
    <row r="2" ht="17.25">
      <c r="A2" s="215" t="s">
        <v>353</v>
      </c>
    </row>
    <row r="4" ht="13.5">
      <c r="B4" s="216" t="s">
        <v>310</v>
      </c>
    </row>
    <row r="5" ht="13.5">
      <c r="B5" s="216" t="s">
        <v>354</v>
      </c>
    </row>
    <row r="6" ht="13.5">
      <c r="B6" s="216" t="s">
        <v>381</v>
      </c>
    </row>
    <row r="7" ht="13.5">
      <c r="B7" s="216" t="s">
        <v>355</v>
      </c>
    </row>
    <row r="9" spans="2:3" ht="13.5">
      <c r="B9" s="217" t="s">
        <v>356</v>
      </c>
      <c r="C9" s="100" t="s">
        <v>311</v>
      </c>
    </row>
    <row r="10" spans="2:12" ht="36.75" customHeight="1">
      <c r="B10" s="216" t="s">
        <v>320</v>
      </c>
      <c r="C10" s="285" t="s">
        <v>332</v>
      </c>
      <c r="D10" s="285"/>
      <c r="E10" s="285"/>
      <c r="F10" s="285"/>
      <c r="G10" s="285"/>
      <c r="H10" s="285"/>
      <c r="I10" s="285"/>
      <c r="J10" s="285"/>
      <c r="K10" s="285"/>
      <c r="L10" s="285"/>
    </row>
    <row r="11" spans="3:11" ht="13.5" customHeight="1">
      <c r="C11" s="218"/>
      <c r="D11" s="218"/>
      <c r="E11" s="218"/>
      <c r="F11" s="218"/>
      <c r="G11" s="218"/>
      <c r="H11" s="218"/>
      <c r="I11" s="218"/>
      <c r="J11" s="218"/>
      <c r="K11" s="218"/>
    </row>
    <row r="12" spans="2:3" ht="13.5" customHeight="1">
      <c r="B12" s="217"/>
      <c r="C12" s="100" t="s">
        <v>312</v>
      </c>
    </row>
    <row r="13" spans="2:3" ht="13.5" customHeight="1">
      <c r="B13" s="217"/>
      <c r="C13" s="100" t="s">
        <v>313</v>
      </c>
    </row>
    <row r="14" spans="2:3" ht="13.5">
      <c r="B14" s="217"/>
      <c r="C14" s="100" t="s">
        <v>259</v>
      </c>
    </row>
    <row r="16" spans="2:3" ht="13.5">
      <c r="B16" s="217" t="s">
        <v>357</v>
      </c>
      <c r="C16" s="100" t="s">
        <v>312</v>
      </c>
    </row>
    <row r="17" ht="13.5">
      <c r="D17" s="216" t="s">
        <v>314</v>
      </c>
    </row>
    <row r="19" spans="3:4" ht="13.5">
      <c r="C19" s="219" t="s">
        <v>358</v>
      </c>
      <c r="D19" s="216" t="s">
        <v>335</v>
      </c>
    </row>
    <row r="21" ht="13.5">
      <c r="D21" s="216" t="s">
        <v>336</v>
      </c>
    </row>
    <row r="22" ht="13.5">
      <c r="D22" s="216" t="s">
        <v>328</v>
      </c>
    </row>
    <row r="23" ht="13.5">
      <c r="D23" s="216" t="s">
        <v>329</v>
      </c>
    </row>
    <row r="24" spans="4:7" ht="13.5">
      <c r="D24" s="216" t="s">
        <v>330</v>
      </c>
      <c r="G24" s="2"/>
    </row>
    <row r="25" ht="13.5">
      <c r="D25" s="216" t="s">
        <v>337</v>
      </c>
    </row>
    <row r="26" ht="13.5">
      <c r="D26" s="216" t="s">
        <v>338</v>
      </c>
    </row>
    <row r="27" ht="13.5">
      <c r="D27" s="216" t="s">
        <v>331</v>
      </c>
    </row>
    <row r="29" ht="13.5">
      <c r="D29" s="100" t="s">
        <v>334</v>
      </c>
    </row>
    <row r="30" ht="13.5">
      <c r="D30" s="100"/>
    </row>
    <row r="31" spans="3:4" ht="13.5">
      <c r="C31" s="219"/>
      <c r="D31" s="225" t="s">
        <v>382</v>
      </c>
    </row>
    <row r="32" spans="4:12" ht="52.5" customHeight="1">
      <c r="D32" s="285" t="s">
        <v>388</v>
      </c>
      <c r="E32" s="285"/>
      <c r="F32" s="285"/>
      <c r="G32" s="285"/>
      <c r="H32" s="285"/>
      <c r="I32" s="285"/>
      <c r="J32" s="285"/>
      <c r="K32" s="285"/>
      <c r="L32" s="285"/>
    </row>
    <row r="33" spans="3:4" ht="13.5">
      <c r="C33" s="219" t="s">
        <v>358</v>
      </c>
      <c r="D33" s="216" t="s">
        <v>315</v>
      </c>
    </row>
    <row r="34" ht="13.5">
      <c r="E34" s="216" t="s">
        <v>333</v>
      </c>
    </row>
    <row r="36" spans="2:3" ht="13.5">
      <c r="B36" s="217" t="s">
        <v>359</v>
      </c>
      <c r="C36" s="100" t="s">
        <v>313</v>
      </c>
    </row>
    <row r="37" ht="13.5">
      <c r="D37" s="216" t="s">
        <v>327</v>
      </c>
    </row>
    <row r="39" ht="13.5">
      <c r="D39" s="216" t="s">
        <v>317</v>
      </c>
    </row>
    <row r="40" ht="13.5">
      <c r="E40" s="216" t="s">
        <v>321</v>
      </c>
    </row>
    <row r="41" ht="13.5">
      <c r="E41" s="216" t="s">
        <v>318</v>
      </c>
    </row>
    <row r="42" ht="13.5">
      <c r="E42" s="216" t="s">
        <v>322</v>
      </c>
    </row>
    <row r="43" ht="13.5">
      <c r="D43" s="216" t="s">
        <v>211</v>
      </c>
    </row>
    <row r="44" ht="13.5">
      <c r="E44" s="216" t="s">
        <v>323</v>
      </c>
    </row>
    <row r="45" ht="13.5">
      <c r="E45" s="216" t="s">
        <v>324</v>
      </c>
    </row>
    <row r="46" ht="13.5">
      <c r="D46" s="216" t="s">
        <v>316</v>
      </c>
    </row>
    <row r="47" ht="13.5">
      <c r="E47" s="216" t="s">
        <v>325</v>
      </c>
    </row>
    <row r="48" ht="13.5">
      <c r="E48" s="216" t="s">
        <v>319</v>
      </c>
    </row>
    <row r="49" ht="13.5">
      <c r="E49" s="216" t="s">
        <v>326</v>
      </c>
    </row>
    <row r="50" spans="2:3" ht="13.5">
      <c r="B50" s="217" t="s">
        <v>357</v>
      </c>
      <c r="C50" s="100" t="s">
        <v>259</v>
      </c>
    </row>
    <row r="51" ht="13.5">
      <c r="D51" s="216" t="s">
        <v>383</v>
      </c>
    </row>
    <row r="52" ht="13.5">
      <c r="D52" s="216" t="s">
        <v>384</v>
      </c>
    </row>
    <row r="53" ht="13.5">
      <c r="D53" s="216" t="s">
        <v>385</v>
      </c>
    </row>
    <row r="55" spans="2:3" ht="13.5">
      <c r="B55" s="217" t="s">
        <v>360</v>
      </c>
      <c r="C55" s="228" t="s">
        <v>386</v>
      </c>
    </row>
    <row r="56" spans="3:13" ht="59.25" customHeight="1">
      <c r="C56" s="217"/>
      <c r="D56" s="285" t="s">
        <v>389</v>
      </c>
      <c r="E56" s="285"/>
      <c r="F56" s="285"/>
      <c r="G56" s="285"/>
      <c r="H56" s="285"/>
      <c r="I56" s="285"/>
      <c r="J56" s="285"/>
      <c r="K56" s="285"/>
      <c r="L56" s="285"/>
      <c r="M56" s="229"/>
    </row>
    <row r="57" ht="6.75" customHeight="1"/>
    <row r="58" spans="2:12" ht="30.75" customHeight="1">
      <c r="B58" s="224"/>
      <c r="C58" s="225"/>
      <c r="D58" s="285" t="s">
        <v>387</v>
      </c>
      <c r="E58" s="285"/>
      <c r="F58" s="285"/>
      <c r="G58" s="285"/>
      <c r="H58" s="285"/>
      <c r="I58" s="285"/>
      <c r="J58" s="285"/>
      <c r="K58" s="285"/>
      <c r="L58" s="285"/>
    </row>
    <row r="59" ht="13.5">
      <c r="C59" s="226"/>
    </row>
    <row r="62" ht="13.5">
      <c r="C62" s="217"/>
    </row>
    <row r="68" ht="13.5">
      <c r="C68" s="100"/>
    </row>
    <row r="69" ht="13.5">
      <c r="D69" s="217"/>
    </row>
    <row r="70" ht="13.5">
      <c r="D70" s="217"/>
    </row>
    <row r="71" ht="13.5">
      <c r="D71" s="217"/>
    </row>
    <row r="74" ht="13.5">
      <c r="C74" s="100"/>
    </row>
    <row r="75" ht="13.5">
      <c r="D75" s="217"/>
    </row>
    <row r="77" ht="13.5">
      <c r="D77" s="217"/>
    </row>
    <row r="80" ht="13.5">
      <c r="C80" s="100"/>
    </row>
    <row r="81" ht="13.5">
      <c r="D81" s="217"/>
    </row>
    <row r="84" ht="13.5">
      <c r="C84" s="100"/>
    </row>
    <row r="85" ht="13.5">
      <c r="D85" s="217"/>
    </row>
    <row r="86" ht="13.5">
      <c r="D86" s="217"/>
    </row>
    <row r="87" ht="13.5">
      <c r="D87" s="217"/>
    </row>
    <row r="89" ht="13.5">
      <c r="D89" s="217"/>
    </row>
    <row r="91" ht="13.5">
      <c r="D91" s="217"/>
    </row>
    <row r="94" ht="13.5">
      <c r="D94" s="217"/>
    </row>
  </sheetData>
  <sheetProtection password="C9A1" sheet="1" objects="1" scenarios="1" selectLockedCells="1" selectUnlockedCells="1"/>
  <mergeCells count="4">
    <mergeCell ref="C10:L10"/>
    <mergeCell ref="D56:L56"/>
    <mergeCell ref="D32:L32"/>
    <mergeCell ref="D58:L58"/>
  </mergeCells>
  <printOptions/>
  <pageMargins left="0.79" right="0.79" top="0.98" bottom="0.98" header="0.51" footer="0.51"/>
  <pageSetup fitToHeight="0" fitToWidth="1" horizontalDpi="300" verticalDpi="300" orientation="portrait" paperSize="9" scale="75" r:id="rId2"/>
  <drawing r:id="rId1"/>
</worksheet>
</file>

<file path=xl/worksheets/sheet2.xml><?xml version="1.0" encoding="utf-8"?>
<worksheet xmlns="http://schemas.openxmlformats.org/spreadsheetml/2006/main" xmlns:r="http://schemas.openxmlformats.org/officeDocument/2006/relationships">
  <sheetPr codeName="Sheet2">
    <tabColor indexed="52"/>
    <pageSetUpPr fitToPage="1"/>
  </sheetPr>
  <dimension ref="A1:K259"/>
  <sheetViews>
    <sheetView workbookViewId="0" topLeftCell="B1">
      <selection activeCell="J197" sqref="J197"/>
    </sheetView>
  </sheetViews>
  <sheetFormatPr defaultColWidth="9.00390625" defaultRowHeight="13.5"/>
  <cols>
    <col min="1" max="1" width="7.375" style="101" hidden="1" customWidth="1"/>
    <col min="2" max="2" width="7.375" style="2" customWidth="1"/>
    <col min="3" max="3" width="2.625" style="2" customWidth="1"/>
    <col min="4" max="5" width="3.75390625" style="2" customWidth="1"/>
    <col min="6" max="6" width="21.625" style="2" customWidth="1"/>
    <col min="7" max="7" width="4.125" style="3" customWidth="1"/>
    <col min="8" max="8" width="21.25390625" style="15" customWidth="1"/>
    <col min="9" max="9" width="4.50390625" style="15" customWidth="1"/>
    <col min="10" max="10" width="52.375" style="2" customWidth="1"/>
    <col min="11" max="11" width="9.00390625" style="2" customWidth="1"/>
  </cols>
  <sheetData>
    <row r="1" ht="13.5">
      <c r="B1" s="1" t="s">
        <v>224</v>
      </c>
    </row>
    <row r="3" ht="14.25" customHeight="1">
      <c r="B3" s="5" t="s">
        <v>225</v>
      </c>
    </row>
    <row r="4" ht="14.25" customHeight="1"/>
    <row r="5" spans="2:10" ht="14.25" customHeight="1">
      <c r="B5" s="6" t="s">
        <v>151</v>
      </c>
      <c r="C5" s="6"/>
      <c r="D5" s="6"/>
      <c r="E5" s="6"/>
      <c r="F5" s="35"/>
      <c r="G5" s="36"/>
      <c r="H5" s="68"/>
      <c r="I5" s="68"/>
      <c r="J5" s="35"/>
    </row>
    <row r="6" spans="1:10" ht="14.25" customHeight="1">
      <c r="A6" s="184">
        <f>ROW('計算シート'!R5)</f>
        <v>5</v>
      </c>
      <c r="B6" s="286"/>
      <c r="C6" s="177"/>
      <c r="H6" s="70"/>
      <c r="I6" s="70"/>
      <c r="J6" s="38"/>
    </row>
    <row r="7" spans="1:11" s="176" customFormat="1" ht="14.25" customHeight="1" thickBot="1">
      <c r="A7" s="184">
        <f>ROW('計算シート'!R83)</f>
        <v>83</v>
      </c>
      <c r="B7" s="286"/>
      <c r="C7" s="185"/>
      <c r="D7" s="175"/>
      <c r="E7" s="287" t="s">
        <v>365</v>
      </c>
      <c r="F7" s="287"/>
      <c r="G7" s="287"/>
      <c r="H7" s="287"/>
      <c r="I7" s="175"/>
      <c r="J7" s="5" t="s">
        <v>228</v>
      </c>
      <c r="K7" s="39"/>
    </row>
    <row r="8" spans="1:3" ht="14.25" customHeight="1">
      <c r="A8" s="184">
        <f>ROW('計算シート'!R141)</f>
        <v>141</v>
      </c>
      <c r="B8" s="286"/>
      <c r="C8" s="177"/>
    </row>
    <row r="9" spans="1:5" ht="14.25" customHeight="1">
      <c r="A9" s="184"/>
      <c r="B9" s="286"/>
      <c r="C9" s="177"/>
      <c r="D9" s="5"/>
      <c r="E9" s="5" t="s">
        <v>154</v>
      </c>
    </row>
    <row r="10" spans="1:5" ht="14.25" customHeight="1" thickBot="1">
      <c r="A10" s="184"/>
      <c r="B10" s="286"/>
      <c r="C10" s="177"/>
      <c r="D10" s="5"/>
      <c r="E10" s="5"/>
    </row>
    <row r="11" spans="1:10" ht="14.25" customHeight="1" thickBot="1" thickTop="1">
      <c r="A11" s="184"/>
      <c r="B11" s="286"/>
      <c r="C11" s="177"/>
      <c r="F11" s="5" t="s">
        <v>160</v>
      </c>
      <c r="G11" s="37">
        <v>1</v>
      </c>
      <c r="H11" s="148" t="s">
        <v>361</v>
      </c>
      <c r="I11" s="145"/>
      <c r="J11" s="5" t="s">
        <v>222</v>
      </c>
    </row>
    <row r="12" spans="1:6" ht="14.25" customHeight="1" thickBot="1" thickTop="1">
      <c r="A12" s="184"/>
      <c r="B12" s="286"/>
      <c r="C12" s="177"/>
      <c r="F12" s="5"/>
    </row>
    <row r="13" spans="1:10" ht="14.25" customHeight="1" thickBot="1" thickTop="1">
      <c r="A13" s="184"/>
      <c r="B13" s="286"/>
      <c r="C13" s="177"/>
      <c r="F13" s="5" t="s">
        <v>161</v>
      </c>
      <c r="G13" s="37">
        <f>G11+1</f>
        <v>2</v>
      </c>
      <c r="H13" s="148" t="s">
        <v>362</v>
      </c>
      <c r="I13" s="145"/>
      <c r="J13" s="5" t="s">
        <v>223</v>
      </c>
    </row>
    <row r="14" spans="1:9" ht="14.25" customHeight="1" thickBot="1" thickTop="1">
      <c r="A14" s="184"/>
      <c r="B14" s="286"/>
      <c r="C14" s="177"/>
      <c r="H14" s="69"/>
      <c r="I14" s="69"/>
    </row>
    <row r="15" spans="1:10" ht="14.25" customHeight="1" thickBot="1" thickTop="1">
      <c r="A15" s="184"/>
      <c r="B15" s="286"/>
      <c r="C15" s="177"/>
      <c r="F15" s="5" t="s">
        <v>138</v>
      </c>
      <c r="G15" s="37">
        <f>G13+1</f>
        <v>3</v>
      </c>
      <c r="H15" s="159">
        <v>30</v>
      </c>
      <c r="I15" s="75"/>
      <c r="J15" s="5" t="s">
        <v>155</v>
      </c>
    </row>
    <row r="16" spans="1:9" ht="14.25" customHeight="1" thickBot="1" thickTop="1">
      <c r="A16" s="184"/>
      <c r="B16" s="286"/>
      <c r="C16" s="177"/>
      <c r="H16" s="38" t="s">
        <v>1</v>
      </c>
      <c r="I16" s="38"/>
    </row>
    <row r="17" spans="1:11" ht="14.25" customHeight="1" thickBot="1" thickTop="1">
      <c r="A17" s="184"/>
      <c r="B17" s="286"/>
      <c r="C17" s="177"/>
      <c r="F17" s="5" t="s">
        <v>152</v>
      </c>
      <c r="G17" s="37">
        <v>4</v>
      </c>
      <c r="H17" s="159">
        <v>2665.4</v>
      </c>
      <c r="I17" s="75"/>
      <c r="J17" s="5" t="s">
        <v>156</v>
      </c>
      <c r="K17" s="40"/>
    </row>
    <row r="18" spans="1:9" ht="14.25" customHeight="1" thickTop="1">
      <c r="A18" s="184"/>
      <c r="B18" s="286"/>
      <c r="C18" s="177"/>
      <c r="H18" s="38" t="s">
        <v>157</v>
      </c>
      <c r="I18" s="38"/>
    </row>
    <row r="19" spans="1:9" ht="14.25" customHeight="1" thickBot="1">
      <c r="A19" s="184"/>
      <c r="B19" s="286"/>
      <c r="C19" s="177"/>
      <c r="E19" s="1" t="s">
        <v>226</v>
      </c>
      <c r="H19" s="38"/>
      <c r="I19" s="38"/>
    </row>
    <row r="20" spans="1:10" ht="14.25" customHeight="1" thickBot="1" thickTop="1">
      <c r="A20" s="184" t="s">
        <v>220</v>
      </c>
      <c r="B20" s="286"/>
      <c r="C20" s="177"/>
      <c r="G20" s="37">
        <v>5</v>
      </c>
      <c r="H20" s="159" t="s">
        <v>136</v>
      </c>
      <c r="I20" s="144"/>
      <c r="J20" s="5"/>
    </row>
    <row r="21" spans="1:5" ht="14.25" customHeight="1" thickBot="1" thickTop="1">
      <c r="A21" s="184"/>
      <c r="B21" s="286"/>
      <c r="C21" s="177"/>
      <c r="D21" s="5"/>
      <c r="E21" s="5"/>
    </row>
    <row r="22" spans="1:10" ht="14.25" customHeight="1" thickBot="1" thickTop="1">
      <c r="A22" s="184" t="s">
        <v>221</v>
      </c>
      <c r="B22" s="286"/>
      <c r="C22" s="177"/>
      <c r="F22" s="1" t="s">
        <v>140</v>
      </c>
      <c r="G22" s="37">
        <v>6</v>
      </c>
      <c r="H22" s="149" t="s">
        <v>341</v>
      </c>
      <c r="I22" s="144"/>
      <c r="J22" s="5"/>
    </row>
    <row r="23" spans="1:10" ht="14.25" customHeight="1" thickBot="1" thickTop="1">
      <c r="A23" s="184" t="s">
        <v>90</v>
      </c>
      <c r="B23" s="286"/>
      <c r="C23" s="177"/>
      <c r="E23" s="1"/>
      <c r="F23" s="13" t="s">
        <v>135</v>
      </c>
      <c r="G23" s="37">
        <v>7</v>
      </c>
      <c r="H23" s="149" t="s">
        <v>20</v>
      </c>
      <c r="I23" s="144"/>
      <c r="J23" s="5"/>
    </row>
    <row r="24" spans="1:10" ht="14.25" customHeight="1" thickBot="1" thickTop="1">
      <c r="A24" s="184"/>
      <c r="B24" s="286"/>
      <c r="C24" s="177"/>
      <c r="E24" s="1"/>
      <c r="F24" s="13" t="s">
        <v>345</v>
      </c>
      <c r="G24" s="37">
        <v>8</v>
      </c>
      <c r="H24" s="161">
        <v>10000</v>
      </c>
      <c r="I24" s="146" t="s">
        <v>344</v>
      </c>
      <c r="J24" s="5"/>
    </row>
    <row r="25" spans="1:10" ht="14.25" customHeight="1" thickBot="1" thickTop="1">
      <c r="A25" s="184"/>
      <c r="B25" s="286"/>
      <c r="C25" s="177"/>
      <c r="E25" s="1"/>
      <c r="F25" s="13" t="s">
        <v>346</v>
      </c>
      <c r="G25" s="37">
        <f>G24+1</f>
        <v>9</v>
      </c>
      <c r="H25" s="157">
        <v>0.6</v>
      </c>
      <c r="I25" s="146"/>
      <c r="J25" s="5"/>
    </row>
    <row r="26" spans="1:10" ht="14.25" customHeight="1" hidden="1">
      <c r="A26" s="184"/>
      <c r="B26" s="286"/>
      <c r="C26" s="177"/>
      <c r="E26" s="1"/>
      <c r="F26" s="13" t="s">
        <v>347</v>
      </c>
      <c r="G26" s="37"/>
      <c r="H26" s="150">
        <f>IF(AND(H25&lt;&gt;"",H24&lt;&gt;""),EXP('係数関連'!$E$67*LN(H25)+'係数関連'!$F$67*LN(H24)+'係数関連'!$G$67),"")</f>
        <v>0.05509081923422535</v>
      </c>
      <c r="I26"/>
      <c r="J26" s="5"/>
    </row>
    <row r="27" spans="1:10" ht="14.25" customHeight="1" hidden="1">
      <c r="A27" s="184"/>
      <c r="B27" s="286"/>
      <c r="C27" s="177"/>
      <c r="E27" s="1"/>
      <c r="F27" s="147"/>
      <c r="G27" s="37"/>
      <c r="H27" s="206" t="s">
        <v>309</v>
      </c>
      <c r="J27" s="5"/>
    </row>
    <row r="28" spans="1:9" ht="14.25" customHeight="1" thickBot="1" thickTop="1">
      <c r="A28" s="184"/>
      <c r="B28" s="286"/>
      <c r="C28" s="177"/>
      <c r="H28" s="151"/>
      <c r="I28" s="70"/>
    </row>
    <row r="29" spans="1:10" ht="14.25" customHeight="1" thickBot="1" thickTop="1">
      <c r="A29" s="184"/>
      <c r="B29" s="286"/>
      <c r="C29" s="177"/>
      <c r="E29" s="1"/>
      <c r="F29" s="153" t="s">
        <v>347</v>
      </c>
      <c r="G29" s="37">
        <f>G25+1</f>
        <v>10</v>
      </c>
      <c r="H29" s="158">
        <f>H26</f>
        <v>0.05509081923422535</v>
      </c>
      <c r="I29" s="74"/>
      <c r="J29" s="71"/>
    </row>
    <row r="30" spans="1:10" ht="14.25" customHeight="1" thickTop="1">
      <c r="A30" s="184"/>
      <c r="B30" s="286"/>
      <c r="C30" s="177"/>
      <c r="H30" s="38" t="str">
        <f>IF(H22="改良トンキロ法","l／ｔｋｍ","t-CO2／ｋl")</f>
        <v>l／ｔｋｍ</v>
      </c>
      <c r="I30" s="38"/>
      <c r="J30" s="70"/>
    </row>
    <row r="31" spans="1:10" ht="14.25" customHeight="1">
      <c r="A31" s="184">
        <f>ROW('計算シート'!R10)</f>
        <v>10</v>
      </c>
      <c r="B31" s="286"/>
      <c r="C31" s="177"/>
      <c r="H31" s="70"/>
      <c r="I31" s="70"/>
      <c r="J31" s="38"/>
    </row>
    <row r="32" spans="1:11" s="176" customFormat="1" ht="14.25" customHeight="1" thickBot="1">
      <c r="A32" s="184">
        <f>ROW('計算シート'!R88)</f>
        <v>88</v>
      </c>
      <c r="B32" s="286"/>
      <c r="C32" s="185"/>
      <c r="D32" s="175"/>
      <c r="E32" s="287" t="s">
        <v>366</v>
      </c>
      <c r="F32" s="287"/>
      <c r="G32" s="287"/>
      <c r="H32" s="287"/>
      <c r="I32" s="175"/>
      <c r="J32" s="5" t="s">
        <v>228</v>
      </c>
      <c r="K32" s="39"/>
    </row>
    <row r="33" spans="1:3" ht="14.25" customHeight="1">
      <c r="A33" s="184">
        <f>ROW('計算シート'!R146)</f>
        <v>146</v>
      </c>
      <c r="B33" s="286"/>
      <c r="C33" s="177"/>
    </row>
    <row r="34" spans="1:5" ht="14.25" customHeight="1">
      <c r="A34" s="184"/>
      <c r="B34" s="286"/>
      <c r="C34" s="177"/>
      <c r="D34" s="5"/>
      <c r="E34" s="5" t="s">
        <v>154</v>
      </c>
    </row>
    <row r="35" spans="1:5" ht="14.25" customHeight="1" thickBot="1">
      <c r="A35" s="184"/>
      <c r="B35" s="286"/>
      <c r="C35" s="177"/>
      <c r="D35" s="5"/>
      <c r="E35" s="5"/>
    </row>
    <row r="36" spans="1:10" ht="14.25" customHeight="1" thickBot="1" thickTop="1">
      <c r="A36" s="184"/>
      <c r="B36" s="286"/>
      <c r="C36" s="177"/>
      <c r="F36" s="5" t="s">
        <v>160</v>
      </c>
      <c r="G36" s="37">
        <v>1</v>
      </c>
      <c r="H36" s="148" t="s">
        <v>362</v>
      </c>
      <c r="I36" s="145"/>
      <c r="J36" s="5" t="s">
        <v>222</v>
      </c>
    </row>
    <row r="37" spans="1:6" ht="14.25" customHeight="1" thickBot="1" thickTop="1">
      <c r="A37" s="184"/>
      <c r="B37" s="286"/>
      <c r="C37" s="177"/>
      <c r="F37" s="5"/>
    </row>
    <row r="38" spans="1:10" ht="14.25" customHeight="1" thickBot="1" thickTop="1">
      <c r="A38" s="184"/>
      <c r="B38" s="286"/>
      <c r="C38" s="177"/>
      <c r="F38" s="5" t="s">
        <v>161</v>
      </c>
      <c r="G38" s="37">
        <f>G36+1</f>
        <v>2</v>
      </c>
      <c r="H38" s="148" t="s">
        <v>363</v>
      </c>
      <c r="I38" s="145"/>
      <c r="J38" s="5" t="s">
        <v>223</v>
      </c>
    </row>
    <row r="39" spans="1:9" ht="14.25" customHeight="1" thickBot="1" thickTop="1">
      <c r="A39" s="184"/>
      <c r="B39" s="286"/>
      <c r="C39" s="177"/>
      <c r="H39" s="69"/>
      <c r="I39" s="69"/>
    </row>
    <row r="40" spans="1:10" ht="14.25" customHeight="1" thickBot="1" thickTop="1">
      <c r="A40" s="184"/>
      <c r="B40" s="286"/>
      <c r="C40" s="177"/>
      <c r="F40" s="5" t="s">
        <v>138</v>
      </c>
      <c r="G40" s="37">
        <f>G38+1</f>
        <v>3</v>
      </c>
      <c r="H40" s="159">
        <v>30</v>
      </c>
      <c r="I40" s="75"/>
      <c r="J40" s="5" t="s">
        <v>155</v>
      </c>
    </row>
    <row r="41" spans="1:9" ht="14.25" customHeight="1" thickBot="1" thickTop="1">
      <c r="A41" s="184"/>
      <c r="B41" s="286"/>
      <c r="C41" s="177"/>
      <c r="H41" s="38" t="s">
        <v>1</v>
      </c>
      <c r="I41" s="38"/>
    </row>
    <row r="42" spans="1:11" ht="14.25" customHeight="1" thickBot="1" thickTop="1">
      <c r="A42" s="184"/>
      <c r="B42" s="286"/>
      <c r="C42" s="177"/>
      <c r="F42" s="5" t="s">
        <v>152</v>
      </c>
      <c r="G42" s="37">
        <v>4</v>
      </c>
      <c r="H42" s="159">
        <v>1407.2</v>
      </c>
      <c r="I42" s="75"/>
      <c r="J42" s="5" t="s">
        <v>156</v>
      </c>
      <c r="K42" s="40"/>
    </row>
    <row r="43" spans="1:9" ht="14.25" customHeight="1" thickTop="1">
      <c r="A43" s="184"/>
      <c r="B43" s="286"/>
      <c r="C43" s="177"/>
      <c r="H43" s="38" t="s">
        <v>157</v>
      </c>
      <c r="I43" s="38"/>
    </row>
    <row r="44" spans="1:9" ht="14.25" customHeight="1" thickBot="1">
      <c r="A44" s="184"/>
      <c r="B44" s="286"/>
      <c r="C44" s="177"/>
      <c r="E44" s="1" t="s">
        <v>226</v>
      </c>
      <c r="H44" s="38"/>
      <c r="I44" s="38"/>
    </row>
    <row r="45" spans="1:10" ht="14.25" customHeight="1" thickBot="1" thickTop="1">
      <c r="A45" s="184" t="s">
        <v>220</v>
      </c>
      <c r="B45" s="286"/>
      <c r="C45" s="177"/>
      <c r="G45" s="37">
        <v>5</v>
      </c>
      <c r="H45" s="159" t="s">
        <v>136</v>
      </c>
      <c r="I45" s="144"/>
      <c r="J45" s="5"/>
    </row>
    <row r="46" spans="1:5" ht="14.25" customHeight="1" thickBot="1" thickTop="1">
      <c r="A46" s="184"/>
      <c r="B46" s="286"/>
      <c r="C46" s="177"/>
      <c r="D46" s="5"/>
      <c r="E46" s="5"/>
    </row>
    <row r="47" spans="1:10" ht="14.25" customHeight="1" thickBot="1" thickTop="1">
      <c r="A47" s="184" t="s">
        <v>221</v>
      </c>
      <c r="B47" s="286"/>
      <c r="C47" s="177"/>
      <c r="F47" s="1" t="s">
        <v>140</v>
      </c>
      <c r="G47" s="37">
        <v>6</v>
      </c>
      <c r="H47" s="149" t="s">
        <v>341</v>
      </c>
      <c r="I47" s="144"/>
      <c r="J47" s="5"/>
    </row>
    <row r="48" spans="1:10" ht="14.25" customHeight="1" thickBot="1" thickTop="1">
      <c r="A48" s="184" t="s">
        <v>90</v>
      </c>
      <c r="B48" s="286"/>
      <c r="C48" s="177"/>
      <c r="E48" s="1"/>
      <c r="F48" s="13" t="s">
        <v>135</v>
      </c>
      <c r="G48" s="37">
        <v>7</v>
      </c>
      <c r="H48" s="149" t="s">
        <v>20</v>
      </c>
      <c r="I48" s="144"/>
      <c r="J48" s="5"/>
    </row>
    <row r="49" spans="1:10" ht="14.25" customHeight="1" thickBot="1" thickTop="1">
      <c r="A49" s="184"/>
      <c r="B49" s="286"/>
      <c r="C49" s="177"/>
      <c r="E49" s="1"/>
      <c r="F49" s="13" t="s">
        <v>348</v>
      </c>
      <c r="G49" s="37">
        <v>8</v>
      </c>
      <c r="H49" s="161">
        <v>10000</v>
      </c>
      <c r="I49" s="146" t="s">
        <v>351</v>
      </c>
      <c r="J49" s="5"/>
    </row>
    <row r="50" spans="1:10" ht="14.25" customHeight="1" thickBot="1" thickTop="1">
      <c r="A50" s="184"/>
      <c r="B50" s="286"/>
      <c r="C50" s="177"/>
      <c r="E50" s="1"/>
      <c r="F50" s="13" t="s">
        <v>349</v>
      </c>
      <c r="G50" s="37">
        <f>G49+1</f>
        <v>9</v>
      </c>
      <c r="H50" s="157">
        <v>0.6</v>
      </c>
      <c r="I50" s="146"/>
      <c r="J50" s="5"/>
    </row>
    <row r="51" spans="1:10" ht="14.25" customHeight="1" hidden="1">
      <c r="A51" s="184"/>
      <c r="B51" s="286"/>
      <c r="C51" s="177"/>
      <c r="E51" s="1"/>
      <c r="F51" s="13" t="s">
        <v>350</v>
      </c>
      <c r="G51" s="37"/>
      <c r="H51" s="150">
        <f>IF(AND(H50&lt;&gt;"",H49&lt;&gt;""),EXP('係数関連'!$E$67*LN(H50)+'係数関連'!$F$67*LN(H49)+'係数関連'!$G$67),"")</f>
        <v>0.05509081923422535</v>
      </c>
      <c r="I51"/>
      <c r="J51" s="5"/>
    </row>
    <row r="52" spans="1:10" ht="14.25" customHeight="1" hidden="1">
      <c r="A52" s="184"/>
      <c r="B52" s="286"/>
      <c r="C52" s="177"/>
      <c r="E52" s="1"/>
      <c r="F52" s="147"/>
      <c r="G52" s="37"/>
      <c r="H52" s="206" t="s">
        <v>309</v>
      </c>
      <c r="J52" s="5"/>
    </row>
    <row r="53" spans="1:9" ht="14.25" customHeight="1" thickBot="1" thickTop="1">
      <c r="A53" s="184"/>
      <c r="B53" s="286"/>
      <c r="C53" s="177"/>
      <c r="H53" s="151"/>
      <c r="I53" s="70"/>
    </row>
    <row r="54" spans="1:10" ht="14.25" customHeight="1" thickBot="1" thickTop="1">
      <c r="A54" s="184"/>
      <c r="B54" s="286"/>
      <c r="C54" s="177"/>
      <c r="E54" s="1"/>
      <c r="F54" s="153" t="s">
        <v>350</v>
      </c>
      <c r="G54" s="37">
        <f>G50+1</f>
        <v>10</v>
      </c>
      <c r="H54" s="158">
        <f>H51</f>
        <v>0.05509081923422535</v>
      </c>
      <c r="I54" s="74"/>
      <c r="J54" s="71"/>
    </row>
    <row r="55" spans="1:10" ht="14.25" customHeight="1" thickTop="1">
      <c r="A55" s="184"/>
      <c r="B55" s="286"/>
      <c r="C55" s="177"/>
      <c r="H55" s="38" t="str">
        <f>IF(H47="改良トンキロ法","l／ｔｋｍ","t-CO2／ｋl")</f>
        <v>l／ｔｋｍ</v>
      </c>
      <c r="I55" s="38"/>
      <c r="J55" s="70"/>
    </row>
    <row r="56" spans="1:10" ht="14.25" customHeight="1">
      <c r="A56" s="184">
        <f>ROW('計算シート'!R15)</f>
        <v>15</v>
      </c>
      <c r="B56" s="286"/>
      <c r="C56" s="177"/>
      <c r="H56" s="70"/>
      <c r="I56" s="70"/>
      <c r="J56" s="38"/>
    </row>
    <row r="57" spans="1:11" s="176" customFormat="1" ht="14.25" customHeight="1" thickBot="1">
      <c r="A57" s="184">
        <f>ROW('計算シート'!R93)</f>
        <v>93</v>
      </c>
      <c r="B57" s="286"/>
      <c r="C57" s="185"/>
      <c r="D57" s="175"/>
      <c r="E57" s="287" t="s">
        <v>367</v>
      </c>
      <c r="F57" s="287"/>
      <c r="G57" s="287"/>
      <c r="H57" s="287"/>
      <c r="I57" s="175"/>
      <c r="J57" s="5" t="s">
        <v>228</v>
      </c>
      <c r="K57" s="39"/>
    </row>
    <row r="58" spans="1:3" ht="14.25" customHeight="1">
      <c r="A58" s="184">
        <f>ROW('計算シート'!R151)</f>
        <v>151</v>
      </c>
      <c r="B58" s="286"/>
      <c r="C58" s="177"/>
    </row>
    <row r="59" spans="1:5" ht="14.25" customHeight="1">
      <c r="A59" s="184"/>
      <c r="B59" s="286"/>
      <c r="C59" s="177"/>
      <c r="D59" s="5"/>
      <c r="E59" s="5" t="s">
        <v>154</v>
      </c>
    </row>
    <row r="60" spans="1:5" ht="14.25" customHeight="1" thickBot="1">
      <c r="A60" s="184"/>
      <c r="B60" s="286"/>
      <c r="C60" s="177"/>
      <c r="D60" s="5"/>
      <c r="E60" s="5"/>
    </row>
    <row r="61" spans="1:10" ht="14.25" customHeight="1" thickBot="1" thickTop="1">
      <c r="A61" s="184"/>
      <c r="B61" s="286"/>
      <c r="C61" s="177"/>
      <c r="F61" s="5" t="s">
        <v>160</v>
      </c>
      <c r="G61" s="37">
        <v>1</v>
      </c>
      <c r="H61" s="148" t="s">
        <v>362</v>
      </c>
      <c r="I61" s="145"/>
      <c r="J61" s="5" t="s">
        <v>222</v>
      </c>
    </row>
    <row r="62" spans="1:6" ht="14.25" customHeight="1" thickBot="1" thickTop="1">
      <c r="A62" s="184"/>
      <c r="B62" s="286"/>
      <c r="C62" s="177"/>
      <c r="F62" s="5"/>
    </row>
    <row r="63" spans="1:10" ht="14.25" customHeight="1" thickBot="1" thickTop="1">
      <c r="A63" s="184"/>
      <c r="B63" s="286"/>
      <c r="C63" s="177"/>
      <c r="F63" s="5" t="s">
        <v>161</v>
      </c>
      <c r="G63" s="37">
        <f>G61+1</f>
        <v>2</v>
      </c>
      <c r="H63" s="148" t="s">
        <v>364</v>
      </c>
      <c r="I63" s="145"/>
      <c r="J63" s="5" t="s">
        <v>223</v>
      </c>
    </row>
    <row r="64" spans="1:9" ht="14.25" customHeight="1" thickBot="1" thickTop="1">
      <c r="A64" s="184"/>
      <c r="B64" s="286"/>
      <c r="C64" s="177"/>
      <c r="H64" s="69"/>
      <c r="I64" s="69"/>
    </row>
    <row r="65" spans="1:10" ht="14.25" customHeight="1" thickBot="1" thickTop="1">
      <c r="A65" s="184"/>
      <c r="B65" s="286"/>
      <c r="C65" s="177"/>
      <c r="F65" s="5" t="s">
        <v>138</v>
      </c>
      <c r="G65" s="37">
        <f>G63+1</f>
        <v>3</v>
      </c>
      <c r="H65" s="159">
        <v>30</v>
      </c>
      <c r="I65" s="75"/>
      <c r="J65" s="5" t="s">
        <v>155</v>
      </c>
    </row>
    <row r="66" spans="1:9" ht="14.25" customHeight="1" thickBot="1" thickTop="1">
      <c r="A66" s="184"/>
      <c r="B66" s="286"/>
      <c r="C66" s="177"/>
      <c r="H66" s="38" t="s">
        <v>1</v>
      </c>
      <c r="I66" s="38"/>
    </row>
    <row r="67" spans="1:11" ht="14.25" customHeight="1" thickBot="1" thickTop="1">
      <c r="A67" s="184"/>
      <c r="B67" s="286"/>
      <c r="C67" s="177"/>
      <c r="F67" s="5" t="s">
        <v>152</v>
      </c>
      <c r="G67" s="37">
        <v>4</v>
      </c>
      <c r="H67" s="159">
        <v>2376</v>
      </c>
      <c r="I67" s="75"/>
      <c r="J67" s="5" t="s">
        <v>156</v>
      </c>
      <c r="K67" s="40"/>
    </row>
    <row r="68" spans="1:9" ht="14.25" customHeight="1" thickTop="1">
      <c r="A68" s="184"/>
      <c r="B68" s="286"/>
      <c r="C68" s="177"/>
      <c r="H68" s="38" t="s">
        <v>157</v>
      </c>
      <c r="I68" s="38"/>
    </row>
    <row r="69" spans="1:9" ht="14.25" customHeight="1" thickBot="1">
      <c r="A69" s="184"/>
      <c r="B69" s="286"/>
      <c r="C69" s="177"/>
      <c r="E69" s="1" t="s">
        <v>226</v>
      </c>
      <c r="H69" s="38"/>
      <c r="I69" s="38"/>
    </row>
    <row r="70" spans="1:10" ht="14.25" customHeight="1" thickBot="1" thickTop="1">
      <c r="A70" s="184" t="s">
        <v>220</v>
      </c>
      <c r="B70" s="286"/>
      <c r="C70" s="177"/>
      <c r="G70" s="37">
        <v>5</v>
      </c>
      <c r="H70" s="159" t="s">
        <v>136</v>
      </c>
      <c r="I70" s="144"/>
      <c r="J70" s="5"/>
    </row>
    <row r="71" spans="1:5" ht="14.25" customHeight="1" thickBot="1" thickTop="1">
      <c r="A71" s="184"/>
      <c r="B71" s="286"/>
      <c r="C71" s="177"/>
      <c r="D71" s="5"/>
      <c r="E71" s="5"/>
    </row>
    <row r="72" spans="1:10" ht="14.25" customHeight="1" thickBot="1" thickTop="1">
      <c r="A72" s="184" t="s">
        <v>221</v>
      </c>
      <c r="B72" s="286"/>
      <c r="C72" s="177"/>
      <c r="F72" s="1" t="s">
        <v>140</v>
      </c>
      <c r="G72" s="37">
        <v>6</v>
      </c>
      <c r="H72" s="149" t="s">
        <v>341</v>
      </c>
      <c r="I72" s="144"/>
      <c r="J72" s="5"/>
    </row>
    <row r="73" spans="1:10" ht="14.25" customHeight="1" thickBot="1" thickTop="1">
      <c r="A73" s="184" t="s">
        <v>90</v>
      </c>
      <c r="B73" s="286"/>
      <c r="C73" s="177"/>
      <c r="E73" s="1"/>
      <c r="F73" s="13" t="s">
        <v>135</v>
      </c>
      <c r="G73" s="37">
        <v>7</v>
      </c>
      <c r="H73" s="149" t="s">
        <v>20</v>
      </c>
      <c r="I73" s="144"/>
      <c r="J73" s="5"/>
    </row>
    <row r="74" spans="1:10" ht="14.25" customHeight="1" thickBot="1" thickTop="1">
      <c r="A74" s="184"/>
      <c r="B74" s="286"/>
      <c r="C74" s="177"/>
      <c r="E74" s="1"/>
      <c r="F74" s="13" t="s">
        <v>348</v>
      </c>
      <c r="G74" s="37">
        <v>8</v>
      </c>
      <c r="H74" s="161">
        <v>10000</v>
      </c>
      <c r="I74" s="146" t="s">
        <v>351</v>
      </c>
      <c r="J74" s="5"/>
    </row>
    <row r="75" spans="1:10" ht="14.25" customHeight="1" thickBot="1" thickTop="1">
      <c r="A75" s="184"/>
      <c r="B75" s="286"/>
      <c r="C75" s="177"/>
      <c r="E75" s="1"/>
      <c r="F75" s="13" t="s">
        <v>349</v>
      </c>
      <c r="G75" s="37">
        <f>G74+1</f>
        <v>9</v>
      </c>
      <c r="H75" s="157">
        <v>0.6</v>
      </c>
      <c r="I75" s="146"/>
      <c r="J75" s="5"/>
    </row>
    <row r="76" spans="1:10" ht="14.25" customHeight="1" hidden="1">
      <c r="A76" s="184"/>
      <c r="B76" s="286"/>
      <c r="C76" s="177"/>
      <c r="E76" s="1"/>
      <c r="F76" s="13" t="s">
        <v>350</v>
      </c>
      <c r="G76" s="37"/>
      <c r="H76" s="150">
        <f>IF(AND(H75&lt;&gt;"",H74&lt;&gt;""),EXP('係数関連'!$E$67*LN(H75)+'係数関連'!$F$67*LN(H74)+'係数関連'!$G$67),"")</f>
        <v>0.05509081923422535</v>
      </c>
      <c r="I76"/>
      <c r="J76" s="5"/>
    </row>
    <row r="77" spans="1:10" ht="14.25" customHeight="1" hidden="1">
      <c r="A77" s="184"/>
      <c r="B77" s="286"/>
      <c r="C77" s="177"/>
      <c r="E77" s="1"/>
      <c r="F77" s="147"/>
      <c r="G77" s="37"/>
      <c r="H77" s="206" t="s">
        <v>309</v>
      </c>
      <c r="J77" s="5"/>
    </row>
    <row r="78" spans="1:9" ht="14.25" customHeight="1" thickBot="1" thickTop="1">
      <c r="A78" s="184"/>
      <c r="B78" s="286"/>
      <c r="C78" s="177"/>
      <c r="H78" s="151"/>
      <c r="I78" s="70"/>
    </row>
    <row r="79" spans="1:10" ht="14.25" customHeight="1" thickBot="1" thickTop="1">
      <c r="A79" s="184"/>
      <c r="B79" s="286"/>
      <c r="C79" s="177"/>
      <c r="E79" s="1"/>
      <c r="F79" s="153" t="s">
        <v>350</v>
      </c>
      <c r="G79" s="37">
        <f>G75+1</f>
        <v>10</v>
      </c>
      <c r="H79" s="158">
        <f>H76</f>
        <v>0.05509081923422535</v>
      </c>
      <c r="I79" s="74"/>
      <c r="J79" s="71"/>
    </row>
    <row r="80" spans="1:10" ht="14.25" customHeight="1" thickTop="1">
      <c r="A80" s="184"/>
      <c r="B80" s="286"/>
      <c r="C80" s="177"/>
      <c r="H80" s="38" t="str">
        <f>IF(H72="改良トンキロ法","l／ｔｋｍ","t-CO2／ｋl")</f>
        <v>l／ｔｋｍ</v>
      </c>
      <c r="I80" s="38"/>
      <c r="J80" s="70"/>
    </row>
    <row r="81" spans="1:10" ht="14.25" customHeight="1">
      <c r="A81" s="184">
        <f>ROW('計算シート'!R20)</f>
        <v>20</v>
      </c>
      <c r="B81" s="286"/>
      <c r="C81" s="177"/>
      <c r="H81" s="70"/>
      <c r="I81" s="70"/>
      <c r="J81" s="38"/>
    </row>
    <row r="82" spans="1:11" s="176" customFormat="1" ht="14.25" customHeight="1" thickBot="1">
      <c r="A82" s="184">
        <f>ROW('計算シート'!R98)</f>
        <v>98</v>
      </c>
      <c r="B82" s="286"/>
      <c r="C82" s="185"/>
      <c r="D82" s="175"/>
      <c r="E82" s="287" t="s">
        <v>369</v>
      </c>
      <c r="F82" s="287"/>
      <c r="G82" s="287"/>
      <c r="H82" s="287"/>
      <c r="I82" s="175"/>
      <c r="J82" s="5" t="s">
        <v>228</v>
      </c>
      <c r="K82" s="39"/>
    </row>
    <row r="83" spans="1:3" ht="14.25" customHeight="1">
      <c r="A83" s="184">
        <f>ROW('計算シート'!R156)</f>
        <v>156</v>
      </c>
      <c r="B83" s="286"/>
      <c r="C83" s="177"/>
    </row>
    <row r="84" spans="1:5" ht="14.25" customHeight="1">
      <c r="A84" s="184"/>
      <c r="B84" s="286"/>
      <c r="C84" s="177"/>
      <c r="D84" s="5"/>
      <c r="E84" s="5" t="s">
        <v>154</v>
      </c>
    </row>
    <row r="85" spans="1:5" ht="14.25" customHeight="1" thickBot="1">
      <c r="A85" s="184"/>
      <c r="B85" s="286"/>
      <c r="C85" s="177"/>
      <c r="D85" s="5"/>
      <c r="E85" s="5"/>
    </row>
    <row r="86" spans="1:10" ht="14.25" customHeight="1" thickBot="1" thickTop="1">
      <c r="A86" s="184"/>
      <c r="B86" s="286"/>
      <c r="C86" s="177"/>
      <c r="F86" s="5" t="s">
        <v>160</v>
      </c>
      <c r="G86" s="37">
        <v>1</v>
      </c>
      <c r="H86" s="148" t="s">
        <v>362</v>
      </c>
      <c r="I86" s="145"/>
      <c r="J86" s="5" t="s">
        <v>222</v>
      </c>
    </row>
    <row r="87" spans="1:6" ht="14.25" customHeight="1" thickBot="1" thickTop="1">
      <c r="A87" s="184"/>
      <c r="B87" s="286"/>
      <c r="C87" s="177"/>
      <c r="F87" s="5"/>
    </row>
    <row r="88" spans="1:10" ht="14.25" customHeight="1" thickBot="1" thickTop="1">
      <c r="A88" s="184"/>
      <c r="B88" s="286"/>
      <c r="C88" s="177"/>
      <c r="F88" s="5" t="s">
        <v>161</v>
      </c>
      <c r="G88" s="37">
        <f>G86+1</f>
        <v>2</v>
      </c>
      <c r="H88" s="148" t="s">
        <v>368</v>
      </c>
      <c r="I88" s="145"/>
      <c r="J88" s="5" t="s">
        <v>223</v>
      </c>
    </row>
    <row r="89" spans="1:9" ht="14.25" customHeight="1" thickBot="1" thickTop="1">
      <c r="A89" s="184"/>
      <c r="B89" s="286"/>
      <c r="C89" s="177"/>
      <c r="H89" s="69"/>
      <c r="I89" s="69"/>
    </row>
    <row r="90" spans="1:10" ht="14.25" customHeight="1" thickBot="1" thickTop="1">
      <c r="A90" s="184"/>
      <c r="B90" s="286"/>
      <c r="C90" s="177"/>
      <c r="F90" s="5" t="s">
        <v>138</v>
      </c>
      <c r="G90" s="37">
        <f>G88+1</f>
        <v>3</v>
      </c>
      <c r="H90" s="159">
        <v>30</v>
      </c>
      <c r="I90" s="75"/>
      <c r="J90" s="5" t="s">
        <v>155</v>
      </c>
    </row>
    <row r="91" spans="1:9" ht="14.25" customHeight="1" thickBot="1" thickTop="1">
      <c r="A91" s="184"/>
      <c r="B91" s="286"/>
      <c r="C91" s="177"/>
      <c r="H91" s="38" t="s">
        <v>1</v>
      </c>
      <c r="I91" s="38"/>
    </row>
    <row r="92" spans="1:11" ht="14.25" customHeight="1" thickBot="1" thickTop="1">
      <c r="A92" s="184"/>
      <c r="B92" s="286"/>
      <c r="C92" s="177"/>
      <c r="F92" s="5" t="s">
        <v>152</v>
      </c>
      <c r="G92" s="37">
        <v>4</v>
      </c>
      <c r="H92" s="159">
        <v>1542.2</v>
      </c>
      <c r="I92" s="75"/>
      <c r="J92" s="5" t="s">
        <v>156</v>
      </c>
      <c r="K92" s="40"/>
    </row>
    <row r="93" spans="1:9" ht="14.25" customHeight="1" thickTop="1">
      <c r="A93" s="184"/>
      <c r="B93" s="286"/>
      <c r="C93" s="177"/>
      <c r="H93" s="38" t="s">
        <v>157</v>
      </c>
      <c r="I93" s="38"/>
    </row>
    <row r="94" spans="1:9" ht="14.25" customHeight="1" thickBot="1">
      <c r="A94" s="184"/>
      <c r="B94" s="286"/>
      <c r="C94" s="177"/>
      <c r="E94" s="1" t="s">
        <v>226</v>
      </c>
      <c r="H94" s="38"/>
      <c r="I94" s="38"/>
    </row>
    <row r="95" spans="1:10" ht="14.25" customHeight="1" thickBot="1" thickTop="1">
      <c r="A95" s="184" t="s">
        <v>220</v>
      </c>
      <c r="B95" s="286"/>
      <c r="C95" s="177"/>
      <c r="G95" s="37">
        <v>5</v>
      </c>
      <c r="H95" s="159" t="s">
        <v>136</v>
      </c>
      <c r="I95" s="144"/>
      <c r="J95" s="5"/>
    </row>
    <row r="96" spans="1:5" ht="14.25" customHeight="1" thickBot="1" thickTop="1">
      <c r="A96" s="184"/>
      <c r="B96" s="286"/>
      <c r="C96" s="177"/>
      <c r="D96" s="5"/>
      <c r="E96" s="5"/>
    </row>
    <row r="97" spans="1:10" ht="14.25" customHeight="1" thickBot="1" thickTop="1">
      <c r="A97" s="184" t="s">
        <v>221</v>
      </c>
      <c r="B97" s="286"/>
      <c r="C97" s="177"/>
      <c r="F97" s="1" t="s">
        <v>140</v>
      </c>
      <c r="G97" s="37">
        <v>6</v>
      </c>
      <c r="H97" s="149" t="s">
        <v>341</v>
      </c>
      <c r="I97" s="144"/>
      <c r="J97" s="5"/>
    </row>
    <row r="98" spans="1:10" ht="14.25" customHeight="1" thickBot="1" thickTop="1">
      <c r="A98" s="184" t="s">
        <v>90</v>
      </c>
      <c r="B98" s="286"/>
      <c r="C98" s="177"/>
      <c r="E98" s="1"/>
      <c r="F98" s="13" t="s">
        <v>135</v>
      </c>
      <c r="G98" s="37">
        <v>7</v>
      </c>
      <c r="H98" s="149" t="s">
        <v>20</v>
      </c>
      <c r="I98" s="144"/>
      <c r="J98" s="5"/>
    </row>
    <row r="99" spans="1:10" ht="14.25" customHeight="1" thickBot="1" thickTop="1">
      <c r="A99" s="184"/>
      <c r="B99" s="286"/>
      <c r="C99" s="177"/>
      <c r="E99" s="1"/>
      <c r="F99" s="13" t="s">
        <v>348</v>
      </c>
      <c r="G99" s="37">
        <v>8</v>
      </c>
      <c r="H99" s="161">
        <v>10000</v>
      </c>
      <c r="I99" s="146" t="s">
        <v>351</v>
      </c>
      <c r="J99" s="5"/>
    </row>
    <row r="100" spans="1:10" ht="14.25" customHeight="1" thickBot="1" thickTop="1">
      <c r="A100" s="184"/>
      <c r="B100" s="286"/>
      <c r="C100" s="177"/>
      <c r="E100" s="1"/>
      <c r="F100" s="13" t="s">
        <v>349</v>
      </c>
      <c r="G100" s="37">
        <f>G99+1</f>
        <v>9</v>
      </c>
      <c r="H100" s="157">
        <v>0.6</v>
      </c>
      <c r="I100" s="146"/>
      <c r="J100" s="5"/>
    </row>
    <row r="101" spans="1:10" ht="14.25" customHeight="1" hidden="1">
      <c r="A101" s="184"/>
      <c r="B101" s="286"/>
      <c r="C101" s="177"/>
      <c r="E101" s="1"/>
      <c r="F101" s="13" t="s">
        <v>350</v>
      </c>
      <c r="G101" s="37"/>
      <c r="H101" s="150">
        <f>IF(AND(H100&lt;&gt;"",H99&lt;&gt;""),EXP('係数関連'!$E$67*LN(H100)+'係数関連'!$F$67*LN(H99)+'係数関連'!$G$67),"")</f>
        <v>0.05509081923422535</v>
      </c>
      <c r="I101"/>
      <c r="J101" s="5"/>
    </row>
    <row r="102" spans="1:10" ht="14.25" customHeight="1" hidden="1">
      <c r="A102" s="184"/>
      <c r="B102" s="286"/>
      <c r="C102" s="177"/>
      <c r="E102" s="1"/>
      <c r="F102" s="147"/>
      <c r="G102" s="37"/>
      <c r="H102" s="206" t="s">
        <v>309</v>
      </c>
      <c r="J102" s="5"/>
    </row>
    <row r="103" spans="1:9" ht="14.25" customHeight="1" thickBot="1" thickTop="1">
      <c r="A103" s="184"/>
      <c r="B103" s="286"/>
      <c r="C103" s="177"/>
      <c r="H103" s="151"/>
      <c r="I103" s="70"/>
    </row>
    <row r="104" spans="1:10" ht="14.25" customHeight="1" thickBot="1" thickTop="1">
      <c r="A104" s="184"/>
      <c r="B104" s="286"/>
      <c r="C104" s="177"/>
      <c r="E104" s="1"/>
      <c r="F104" s="153" t="s">
        <v>350</v>
      </c>
      <c r="G104" s="37">
        <f>G100+1</f>
        <v>10</v>
      </c>
      <c r="H104" s="158">
        <f>H101</f>
        <v>0.05509081923422535</v>
      </c>
      <c r="I104" s="74"/>
      <c r="J104" s="71"/>
    </row>
    <row r="105" spans="1:10" ht="14.25" customHeight="1" thickTop="1">
      <c r="A105" s="184"/>
      <c r="B105" s="286"/>
      <c r="C105" s="177"/>
      <c r="H105" s="38" t="str">
        <f>IF(H97="改良トンキロ法","l／ｔｋｍ","t-CO2／ｋl")</f>
        <v>l／ｔｋｍ</v>
      </c>
      <c r="I105" s="38"/>
      <c r="J105" s="70"/>
    </row>
    <row r="106" spans="1:10" ht="14.25" customHeight="1">
      <c r="A106" s="184">
        <f>ROW('計算シート'!R25)</f>
        <v>25</v>
      </c>
      <c r="B106" s="286"/>
      <c r="C106" s="177"/>
      <c r="H106" s="70"/>
      <c r="I106" s="70"/>
      <c r="J106" s="38"/>
    </row>
    <row r="107" spans="1:11" s="176" customFormat="1" ht="14.25" customHeight="1" thickBot="1">
      <c r="A107" s="184">
        <f>ROW('計算シート'!R103)</f>
        <v>103</v>
      </c>
      <c r="B107" s="286"/>
      <c r="C107" s="185"/>
      <c r="D107" s="175"/>
      <c r="E107" s="287" t="s">
        <v>370</v>
      </c>
      <c r="F107" s="287"/>
      <c r="G107" s="287"/>
      <c r="H107" s="287"/>
      <c r="I107" s="175"/>
      <c r="J107" s="5" t="s">
        <v>228</v>
      </c>
      <c r="K107" s="39"/>
    </row>
    <row r="108" spans="1:3" ht="14.25" customHeight="1">
      <c r="A108" s="184">
        <f>ROW('計算シート'!R161)</f>
        <v>161</v>
      </c>
      <c r="B108" s="286"/>
      <c r="C108" s="177"/>
    </row>
    <row r="109" spans="1:5" ht="14.25" customHeight="1">
      <c r="A109" s="184"/>
      <c r="B109" s="286"/>
      <c r="C109" s="177"/>
      <c r="D109" s="5"/>
      <c r="E109" s="5" t="s">
        <v>154</v>
      </c>
    </row>
    <row r="110" spans="1:5" ht="14.25" customHeight="1" thickBot="1">
      <c r="A110" s="184"/>
      <c r="B110" s="286"/>
      <c r="C110" s="177"/>
      <c r="D110" s="5"/>
      <c r="E110" s="5"/>
    </row>
    <row r="111" spans="1:10" ht="14.25" customHeight="1" thickBot="1" thickTop="1">
      <c r="A111" s="184"/>
      <c r="B111" s="286"/>
      <c r="C111" s="177"/>
      <c r="F111" s="5" t="s">
        <v>160</v>
      </c>
      <c r="G111" s="37">
        <v>1</v>
      </c>
      <c r="H111" s="148" t="s">
        <v>371</v>
      </c>
      <c r="I111" s="145"/>
      <c r="J111" s="5" t="s">
        <v>222</v>
      </c>
    </row>
    <row r="112" spans="1:6" ht="14.25" customHeight="1" thickBot="1" thickTop="1">
      <c r="A112" s="184"/>
      <c r="B112" s="286"/>
      <c r="C112" s="177"/>
      <c r="F112" s="5"/>
    </row>
    <row r="113" spans="1:10" ht="14.25" customHeight="1" thickBot="1" thickTop="1">
      <c r="A113" s="184"/>
      <c r="B113" s="286"/>
      <c r="C113" s="177"/>
      <c r="F113" s="5" t="s">
        <v>161</v>
      </c>
      <c r="G113" s="37">
        <f>G111+1</f>
        <v>2</v>
      </c>
      <c r="H113" s="148" t="s">
        <v>362</v>
      </c>
      <c r="I113" s="145"/>
      <c r="J113" s="5" t="s">
        <v>223</v>
      </c>
    </row>
    <row r="114" spans="1:9" ht="14.25" customHeight="1" thickBot="1" thickTop="1">
      <c r="A114" s="184"/>
      <c r="B114" s="286"/>
      <c r="C114" s="177"/>
      <c r="H114" s="69"/>
      <c r="I114" s="69"/>
    </row>
    <row r="115" spans="1:10" ht="14.25" customHeight="1" thickBot="1" thickTop="1">
      <c r="A115" s="184"/>
      <c r="B115" s="286"/>
      <c r="C115" s="177"/>
      <c r="F115" s="5" t="s">
        <v>138</v>
      </c>
      <c r="G115" s="37">
        <f>G113+1</f>
        <v>3</v>
      </c>
      <c r="H115" s="159">
        <v>30</v>
      </c>
      <c r="I115" s="75"/>
      <c r="J115" s="5" t="s">
        <v>155</v>
      </c>
    </row>
    <row r="116" spans="1:9" ht="14.25" customHeight="1" thickBot="1" thickTop="1">
      <c r="A116" s="184"/>
      <c r="B116" s="286"/>
      <c r="C116" s="177"/>
      <c r="H116" s="38" t="s">
        <v>1</v>
      </c>
      <c r="I116" s="38"/>
    </row>
    <row r="117" spans="1:11" ht="14.25" customHeight="1" thickBot="1" thickTop="1">
      <c r="A117" s="184"/>
      <c r="B117" s="286"/>
      <c r="C117" s="177"/>
      <c r="F117" s="5" t="s">
        <v>152</v>
      </c>
      <c r="G117" s="37">
        <v>4</v>
      </c>
      <c r="H117" s="159">
        <v>214.9</v>
      </c>
      <c r="I117" s="75"/>
      <c r="J117" s="5" t="s">
        <v>156</v>
      </c>
      <c r="K117" s="40"/>
    </row>
    <row r="118" spans="1:9" ht="14.25" customHeight="1" thickTop="1">
      <c r="A118" s="184"/>
      <c r="B118" s="286"/>
      <c r="C118" s="177"/>
      <c r="H118" s="38" t="s">
        <v>157</v>
      </c>
      <c r="I118" s="38"/>
    </row>
    <row r="119" spans="1:9" ht="14.25" customHeight="1" thickBot="1">
      <c r="A119" s="184"/>
      <c r="B119" s="286"/>
      <c r="C119" s="177"/>
      <c r="E119" s="1" t="s">
        <v>226</v>
      </c>
      <c r="H119" s="38"/>
      <c r="I119" s="38"/>
    </row>
    <row r="120" spans="1:10" ht="14.25" customHeight="1" thickBot="1" thickTop="1">
      <c r="A120" s="184" t="s">
        <v>220</v>
      </c>
      <c r="B120" s="286"/>
      <c r="C120" s="177"/>
      <c r="G120" s="37">
        <v>5</v>
      </c>
      <c r="H120" s="159" t="s">
        <v>136</v>
      </c>
      <c r="I120" s="144"/>
      <c r="J120" s="5"/>
    </row>
    <row r="121" spans="1:5" ht="14.25" customHeight="1" thickBot="1" thickTop="1">
      <c r="A121" s="184"/>
      <c r="B121" s="286"/>
      <c r="C121" s="177"/>
      <c r="D121" s="5"/>
      <c r="E121" s="5"/>
    </row>
    <row r="122" spans="1:10" ht="14.25" customHeight="1" thickBot="1" thickTop="1">
      <c r="A122" s="184" t="s">
        <v>221</v>
      </c>
      <c r="B122" s="286"/>
      <c r="C122" s="177"/>
      <c r="F122" s="1" t="s">
        <v>140</v>
      </c>
      <c r="G122" s="37">
        <v>6</v>
      </c>
      <c r="H122" s="149" t="s">
        <v>341</v>
      </c>
      <c r="I122" s="144"/>
      <c r="J122" s="5"/>
    </row>
    <row r="123" spans="1:10" ht="14.25" customHeight="1" thickBot="1" thickTop="1">
      <c r="A123" s="184" t="s">
        <v>90</v>
      </c>
      <c r="B123" s="286"/>
      <c r="C123" s="177"/>
      <c r="E123" s="1"/>
      <c r="F123" s="13" t="s">
        <v>135</v>
      </c>
      <c r="G123" s="37">
        <v>7</v>
      </c>
      <c r="H123" s="149" t="s">
        <v>20</v>
      </c>
      <c r="I123" s="144"/>
      <c r="J123" s="5"/>
    </row>
    <row r="124" spans="1:10" ht="14.25" customHeight="1" thickBot="1" thickTop="1">
      <c r="A124" s="184"/>
      <c r="B124" s="286"/>
      <c r="C124" s="177"/>
      <c r="E124" s="1"/>
      <c r="F124" s="13" t="s">
        <v>348</v>
      </c>
      <c r="G124" s="37">
        <v>8</v>
      </c>
      <c r="H124" s="161">
        <v>4000</v>
      </c>
      <c r="I124" s="146" t="s">
        <v>351</v>
      </c>
      <c r="J124" s="5"/>
    </row>
    <row r="125" spans="1:10" ht="14.25" customHeight="1" thickBot="1" thickTop="1">
      <c r="A125" s="184"/>
      <c r="B125" s="286"/>
      <c r="C125" s="177"/>
      <c r="E125" s="1"/>
      <c r="F125" s="13" t="s">
        <v>349</v>
      </c>
      <c r="G125" s="37">
        <f>G124+1</f>
        <v>9</v>
      </c>
      <c r="H125" s="157">
        <v>0.4</v>
      </c>
      <c r="I125" s="146"/>
      <c r="J125" s="5"/>
    </row>
    <row r="126" spans="1:10" ht="14.25" customHeight="1" hidden="1">
      <c r="A126" s="184"/>
      <c r="B126" s="286"/>
      <c r="C126" s="177"/>
      <c r="E126" s="1"/>
      <c r="F126" s="13" t="s">
        <v>350</v>
      </c>
      <c r="G126" s="37"/>
      <c r="H126" s="150">
        <f>IF(AND(H125&lt;&gt;"",H124&lt;&gt;""),EXP('係数関連'!$E$67*LN(H125)+'係数関連'!$F$67*LN(H124)+'係数関連'!$G$67),"")</f>
        <v>0.1394177593404856</v>
      </c>
      <c r="I126"/>
      <c r="J126" s="5"/>
    </row>
    <row r="127" spans="1:10" ht="14.25" customHeight="1" hidden="1">
      <c r="A127" s="184"/>
      <c r="B127" s="286"/>
      <c r="C127" s="177"/>
      <c r="E127" s="1"/>
      <c r="F127" s="147"/>
      <c r="G127" s="37"/>
      <c r="H127" s="206" t="s">
        <v>309</v>
      </c>
      <c r="J127" s="5"/>
    </row>
    <row r="128" spans="1:9" ht="14.25" customHeight="1" thickBot="1" thickTop="1">
      <c r="A128" s="184"/>
      <c r="B128" s="286"/>
      <c r="C128" s="177"/>
      <c r="H128" s="151"/>
      <c r="I128" s="70"/>
    </row>
    <row r="129" spans="1:10" ht="14.25" customHeight="1" thickBot="1" thickTop="1">
      <c r="A129" s="184"/>
      <c r="B129" s="286"/>
      <c r="C129" s="177"/>
      <c r="E129" s="1"/>
      <c r="F129" s="153" t="s">
        <v>350</v>
      </c>
      <c r="G129" s="37">
        <f>G125+1</f>
        <v>10</v>
      </c>
      <c r="H129" s="158">
        <f>H126</f>
        <v>0.1394177593404856</v>
      </c>
      <c r="I129" s="74"/>
      <c r="J129" s="71"/>
    </row>
    <row r="130" spans="1:10" ht="14.25" customHeight="1" thickTop="1">
      <c r="A130" s="184"/>
      <c r="B130" s="286"/>
      <c r="C130" s="177"/>
      <c r="H130" s="38" t="str">
        <f>IF(H122="改良トンキロ法","l／ｔｋｍ","t-CO2／ｋl")</f>
        <v>l／ｔｋｍ</v>
      </c>
      <c r="I130" s="38"/>
      <c r="J130" s="70"/>
    </row>
    <row r="131" spans="1:10" ht="14.25" customHeight="1">
      <c r="A131" s="184">
        <f>ROW('計算シート'!R30)</f>
        <v>30</v>
      </c>
      <c r="B131" s="286"/>
      <c r="C131" s="177"/>
      <c r="H131" s="70"/>
      <c r="I131" s="70"/>
      <c r="J131" s="38"/>
    </row>
    <row r="132" spans="1:11" s="176" customFormat="1" ht="14.25" customHeight="1" thickBot="1">
      <c r="A132" s="184">
        <f>ROW('計算シート'!R108)</f>
        <v>108</v>
      </c>
      <c r="B132" s="286"/>
      <c r="C132" s="185"/>
      <c r="D132" s="175"/>
      <c r="E132" s="287" t="s">
        <v>372</v>
      </c>
      <c r="F132" s="287"/>
      <c r="G132" s="287"/>
      <c r="H132" s="287"/>
      <c r="I132" s="175"/>
      <c r="J132" s="5" t="s">
        <v>228</v>
      </c>
      <c r="K132" s="39"/>
    </row>
    <row r="133" spans="1:3" ht="14.25" customHeight="1">
      <c r="A133" s="184">
        <f>ROW('計算シート'!R166)</f>
        <v>166</v>
      </c>
      <c r="B133" s="286"/>
      <c r="C133" s="177"/>
    </row>
    <row r="134" spans="1:5" ht="14.25" customHeight="1">
      <c r="A134" s="184"/>
      <c r="B134" s="286"/>
      <c r="C134" s="177"/>
      <c r="D134" s="5"/>
      <c r="E134" s="5" t="s">
        <v>154</v>
      </c>
    </row>
    <row r="135" spans="1:5" ht="14.25" customHeight="1" thickBot="1">
      <c r="A135" s="184"/>
      <c r="B135" s="286"/>
      <c r="C135" s="177"/>
      <c r="D135" s="5"/>
      <c r="E135" s="5"/>
    </row>
    <row r="136" spans="1:10" ht="14.25" customHeight="1" thickBot="1" thickTop="1">
      <c r="A136" s="184"/>
      <c r="B136" s="286"/>
      <c r="C136" s="177"/>
      <c r="F136" s="5" t="s">
        <v>160</v>
      </c>
      <c r="G136" s="37">
        <v>1</v>
      </c>
      <c r="H136" s="148" t="s">
        <v>371</v>
      </c>
      <c r="I136" s="145"/>
      <c r="J136" s="5" t="s">
        <v>222</v>
      </c>
    </row>
    <row r="137" spans="1:6" ht="14.25" customHeight="1" thickBot="1" thickTop="1">
      <c r="A137" s="184"/>
      <c r="B137" s="286"/>
      <c r="C137" s="177"/>
      <c r="F137" s="5"/>
    </row>
    <row r="138" spans="1:10" ht="14.25" customHeight="1" thickBot="1" thickTop="1">
      <c r="A138" s="184"/>
      <c r="B138" s="286"/>
      <c r="C138" s="177"/>
      <c r="F138" s="5" t="s">
        <v>161</v>
      </c>
      <c r="G138" s="37">
        <f>G136+1</f>
        <v>2</v>
      </c>
      <c r="H138" s="148" t="s">
        <v>363</v>
      </c>
      <c r="I138" s="145"/>
      <c r="J138" s="5" t="s">
        <v>223</v>
      </c>
    </row>
    <row r="139" spans="1:9" ht="14.25" customHeight="1" thickBot="1" thickTop="1">
      <c r="A139" s="184"/>
      <c r="B139" s="286"/>
      <c r="C139" s="177"/>
      <c r="H139" s="69"/>
      <c r="I139" s="69"/>
    </row>
    <row r="140" spans="1:10" ht="14.25" customHeight="1" thickBot="1" thickTop="1">
      <c r="A140" s="184"/>
      <c r="B140" s="286"/>
      <c r="C140" s="177"/>
      <c r="F140" s="5" t="s">
        <v>138</v>
      </c>
      <c r="G140" s="37">
        <f>G138+1</f>
        <v>3</v>
      </c>
      <c r="H140" s="159">
        <v>30</v>
      </c>
      <c r="I140" s="75"/>
      <c r="J140" s="5" t="s">
        <v>155</v>
      </c>
    </row>
    <row r="141" spans="1:9" ht="14.25" customHeight="1" thickBot="1" thickTop="1">
      <c r="A141" s="184"/>
      <c r="B141" s="286"/>
      <c r="C141" s="177"/>
      <c r="H141" s="38" t="s">
        <v>1</v>
      </c>
      <c r="I141" s="38"/>
    </row>
    <row r="142" spans="1:11" ht="14.25" customHeight="1" thickBot="1" thickTop="1">
      <c r="A142" s="184"/>
      <c r="B142" s="286"/>
      <c r="C142" s="177"/>
      <c r="F142" s="5" t="s">
        <v>152</v>
      </c>
      <c r="G142" s="37">
        <v>4</v>
      </c>
      <c r="H142" s="159">
        <v>253.8</v>
      </c>
      <c r="I142" s="75"/>
      <c r="J142" s="5" t="s">
        <v>156</v>
      </c>
      <c r="K142" s="40"/>
    </row>
    <row r="143" spans="1:9" ht="14.25" customHeight="1" thickTop="1">
      <c r="A143" s="184"/>
      <c r="B143" s="286"/>
      <c r="C143" s="177"/>
      <c r="H143" s="38" t="s">
        <v>157</v>
      </c>
      <c r="I143" s="38"/>
    </row>
    <row r="144" spans="1:9" ht="14.25" customHeight="1" thickBot="1">
      <c r="A144" s="184"/>
      <c r="B144" s="286"/>
      <c r="C144" s="177"/>
      <c r="E144" s="1" t="s">
        <v>226</v>
      </c>
      <c r="H144" s="38"/>
      <c r="I144" s="38"/>
    </row>
    <row r="145" spans="1:10" ht="14.25" customHeight="1" thickBot="1" thickTop="1">
      <c r="A145" s="184" t="s">
        <v>220</v>
      </c>
      <c r="B145" s="286"/>
      <c r="C145" s="177"/>
      <c r="G145" s="37">
        <v>5</v>
      </c>
      <c r="H145" s="159" t="s">
        <v>136</v>
      </c>
      <c r="I145" s="144"/>
      <c r="J145" s="5"/>
    </row>
    <row r="146" spans="1:5" ht="14.25" customHeight="1" thickBot="1" thickTop="1">
      <c r="A146" s="184"/>
      <c r="B146" s="286"/>
      <c r="C146" s="177"/>
      <c r="D146" s="5"/>
      <c r="E146" s="5"/>
    </row>
    <row r="147" spans="1:10" ht="14.25" customHeight="1" thickBot="1" thickTop="1">
      <c r="A147" s="184" t="s">
        <v>221</v>
      </c>
      <c r="B147" s="286"/>
      <c r="C147" s="177"/>
      <c r="F147" s="1" t="s">
        <v>140</v>
      </c>
      <c r="G147" s="37">
        <v>6</v>
      </c>
      <c r="H147" s="149" t="s">
        <v>341</v>
      </c>
      <c r="I147" s="144"/>
      <c r="J147" s="5"/>
    </row>
    <row r="148" spans="1:10" ht="14.25" customHeight="1" thickBot="1" thickTop="1">
      <c r="A148" s="184" t="s">
        <v>90</v>
      </c>
      <c r="B148" s="286"/>
      <c r="C148" s="177"/>
      <c r="E148" s="1"/>
      <c r="F148" s="13" t="s">
        <v>135</v>
      </c>
      <c r="G148" s="37">
        <v>7</v>
      </c>
      <c r="H148" s="149" t="s">
        <v>20</v>
      </c>
      <c r="I148" s="144"/>
      <c r="J148" s="5"/>
    </row>
    <row r="149" spans="1:10" ht="14.25" customHeight="1" thickBot="1" thickTop="1">
      <c r="A149" s="184"/>
      <c r="B149" s="286"/>
      <c r="C149" s="177"/>
      <c r="E149" s="1"/>
      <c r="F149" s="13" t="s">
        <v>348</v>
      </c>
      <c r="G149" s="37">
        <v>8</v>
      </c>
      <c r="H149" s="161">
        <v>4000</v>
      </c>
      <c r="I149" s="146" t="s">
        <v>351</v>
      </c>
      <c r="J149" s="5"/>
    </row>
    <row r="150" spans="1:10" ht="14.25" customHeight="1" thickBot="1" thickTop="1">
      <c r="A150" s="184"/>
      <c r="B150" s="286"/>
      <c r="C150" s="177"/>
      <c r="E150" s="1"/>
      <c r="F150" s="13" t="s">
        <v>349</v>
      </c>
      <c r="G150" s="37">
        <f>G149+1</f>
        <v>9</v>
      </c>
      <c r="H150" s="157">
        <v>0.4</v>
      </c>
      <c r="I150" s="146"/>
      <c r="J150" s="5"/>
    </row>
    <row r="151" spans="1:10" ht="14.25" customHeight="1" hidden="1">
      <c r="A151" s="184"/>
      <c r="B151" s="286"/>
      <c r="C151" s="177"/>
      <c r="E151" s="1"/>
      <c r="F151" s="13" t="s">
        <v>350</v>
      </c>
      <c r="G151" s="37"/>
      <c r="H151" s="150">
        <f>IF(AND(H150&lt;&gt;"",H149&lt;&gt;""),EXP('係数関連'!$E$67*LN(H150)+'係数関連'!$F$67*LN(H149)+'係数関連'!$G$67),"")</f>
        <v>0.1394177593404856</v>
      </c>
      <c r="I151"/>
      <c r="J151" s="5"/>
    </row>
    <row r="152" spans="1:10" ht="14.25" customHeight="1" hidden="1">
      <c r="A152" s="184"/>
      <c r="B152" s="286"/>
      <c r="C152" s="177"/>
      <c r="E152" s="1"/>
      <c r="F152" s="147"/>
      <c r="G152" s="37"/>
      <c r="H152" s="206" t="s">
        <v>309</v>
      </c>
      <c r="J152" s="5"/>
    </row>
    <row r="153" spans="1:9" ht="14.25" customHeight="1" thickBot="1" thickTop="1">
      <c r="A153" s="184"/>
      <c r="B153" s="286"/>
      <c r="C153" s="177"/>
      <c r="H153" s="151"/>
      <c r="I153" s="70"/>
    </row>
    <row r="154" spans="1:10" ht="14.25" customHeight="1" thickBot="1" thickTop="1">
      <c r="A154" s="184"/>
      <c r="B154" s="286"/>
      <c r="C154" s="177"/>
      <c r="E154" s="1"/>
      <c r="F154" s="153" t="s">
        <v>350</v>
      </c>
      <c r="G154" s="37">
        <f>G150+1</f>
        <v>10</v>
      </c>
      <c r="H154" s="158">
        <f>H151</f>
        <v>0.1394177593404856</v>
      </c>
      <c r="I154" s="74"/>
      <c r="J154" s="71"/>
    </row>
    <row r="155" spans="1:10" ht="14.25" customHeight="1" thickTop="1">
      <c r="A155" s="184"/>
      <c r="B155" s="286"/>
      <c r="C155" s="177"/>
      <c r="H155" s="38" t="str">
        <f>IF(H147="改良トンキロ法","l／ｔｋｍ","t-CO2／ｋl")</f>
        <v>l／ｔｋｍ</v>
      </c>
      <c r="I155" s="38"/>
      <c r="J155" s="70"/>
    </row>
    <row r="156" spans="1:10" ht="14.25" customHeight="1">
      <c r="A156" s="184">
        <f>ROW('計算シート'!R35)</f>
        <v>35</v>
      </c>
      <c r="B156" s="286"/>
      <c r="C156" s="177"/>
      <c r="H156" s="70"/>
      <c r="I156" s="70"/>
      <c r="J156" s="38"/>
    </row>
    <row r="157" spans="1:11" s="176" customFormat="1" ht="14.25" customHeight="1" thickBot="1">
      <c r="A157" s="184">
        <f>ROW('計算シート'!R113)</f>
        <v>113</v>
      </c>
      <c r="B157" s="286"/>
      <c r="C157" s="185"/>
      <c r="D157" s="175"/>
      <c r="E157" s="287" t="s">
        <v>373</v>
      </c>
      <c r="F157" s="287"/>
      <c r="G157" s="287"/>
      <c r="H157" s="287"/>
      <c r="I157" s="175"/>
      <c r="J157" s="5" t="s">
        <v>228</v>
      </c>
      <c r="K157" s="39"/>
    </row>
    <row r="158" spans="1:3" ht="14.25" customHeight="1">
      <c r="A158" s="184">
        <f>ROW('計算シート'!R171)</f>
        <v>171</v>
      </c>
      <c r="B158" s="286"/>
      <c r="C158" s="177"/>
    </row>
    <row r="159" spans="1:5" ht="14.25" customHeight="1">
      <c r="A159" s="184"/>
      <c r="B159" s="286"/>
      <c r="C159" s="177"/>
      <c r="D159" s="5"/>
      <c r="E159" s="5" t="s">
        <v>154</v>
      </c>
    </row>
    <row r="160" spans="1:5" ht="14.25" customHeight="1" thickBot="1">
      <c r="A160" s="184"/>
      <c r="B160" s="286"/>
      <c r="C160" s="177"/>
      <c r="D160" s="5"/>
      <c r="E160" s="5"/>
    </row>
    <row r="161" spans="1:10" ht="14.25" customHeight="1" thickBot="1" thickTop="1">
      <c r="A161" s="184"/>
      <c r="B161" s="286"/>
      <c r="C161" s="177"/>
      <c r="F161" s="5" t="s">
        <v>160</v>
      </c>
      <c r="G161" s="37">
        <v>1</v>
      </c>
      <c r="H161" s="148" t="s">
        <v>371</v>
      </c>
      <c r="I161" s="145"/>
      <c r="J161" s="5" t="s">
        <v>222</v>
      </c>
    </row>
    <row r="162" spans="1:6" ht="14.25" customHeight="1" thickBot="1" thickTop="1">
      <c r="A162" s="184"/>
      <c r="B162" s="286"/>
      <c r="C162" s="177"/>
      <c r="F162" s="5"/>
    </row>
    <row r="163" spans="1:10" ht="14.25" customHeight="1" thickBot="1" thickTop="1">
      <c r="A163" s="184"/>
      <c r="B163" s="286"/>
      <c r="C163" s="177"/>
      <c r="F163" s="5" t="s">
        <v>161</v>
      </c>
      <c r="G163" s="37">
        <f>G161+1</f>
        <v>2</v>
      </c>
      <c r="H163" s="148" t="s">
        <v>364</v>
      </c>
      <c r="I163" s="145"/>
      <c r="J163" s="5" t="s">
        <v>223</v>
      </c>
    </row>
    <row r="164" spans="1:9" ht="14.25" customHeight="1" thickBot="1" thickTop="1">
      <c r="A164" s="184"/>
      <c r="B164" s="286"/>
      <c r="C164" s="177"/>
      <c r="H164" s="69"/>
      <c r="I164" s="69"/>
    </row>
    <row r="165" spans="1:10" ht="14.25" customHeight="1" thickBot="1" thickTop="1">
      <c r="A165" s="184"/>
      <c r="B165" s="286"/>
      <c r="C165" s="177"/>
      <c r="F165" s="5" t="s">
        <v>138</v>
      </c>
      <c r="G165" s="37">
        <f>G163+1</f>
        <v>3</v>
      </c>
      <c r="H165" s="159">
        <v>30</v>
      </c>
      <c r="I165" s="75"/>
      <c r="J165" s="5" t="s">
        <v>155</v>
      </c>
    </row>
    <row r="166" spans="1:9" ht="14.25" customHeight="1" thickBot="1" thickTop="1">
      <c r="A166" s="184"/>
      <c r="B166" s="286"/>
      <c r="C166" s="177"/>
      <c r="H166" s="38" t="s">
        <v>1</v>
      </c>
      <c r="I166" s="38"/>
    </row>
    <row r="167" spans="1:11" ht="14.25" customHeight="1" thickBot="1" thickTop="1">
      <c r="A167" s="184"/>
      <c r="B167" s="286"/>
      <c r="C167" s="177"/>
      <c r="F167" s="5" t="s">
        <v>152</v>
      </c>
      <c r="G167" s="37">
        <v>4</v>
      </c>
      <c r="H167" s="159">
        <v>491.4</v>
      </c>
      <c r="I167" s="75"/>
      <c r="J167" s="5" t="s">
        <v>156</v>
      </c>
      <c r="K167" s="40"/>
    </row>
    <row r="168" spans="1:9" ht="14.25" customHeight="1" thickTop="1">
      <c r="A168" s="184"/>
      <c r="B168" s="286"/>
      <c r="C168" s="177"/>
      <c r="H168" s="38" t="s">
        <v>157</v>
      </c>
      <c r="I168" s="38"/>
    </row>
    <row r="169" spans="1:9" ht="14.25" customHeight="1" thickBot="1">
      <c r="A169" s="184"/>
      <c r="B169" s="286"/>
      <c r="C169" s="177"/>
      <c r="E169" s="1" t="s">
        <v>226</v>
      </c>
      <c r="H169" s="38"/>
      <c r="I169" s="38"/>
    </row>
    <row r="170" spans="1:10" ht="14.25" customHeight="1" thickBot="1" thickTop="1">
      <c r="A170" s="184" t="s">
        <v>220</v>
      </c>
      <c r="B170" s="286"/>
      <c r="C170" s="177"/>
      <c r="G170" s="37">
        <v>5</v>
      </c>
      <c r="H170" s="159" t="s">
        <v>136</v>
      </c>
      <c r="I170" s="144"/>
      <c r="J170" s="5"/>
    </row>
    <row r="171" spans="1:5" ht="14.25" customHeight="1" thickBot="1" thickTop="1">
      <c r="A171" s="184"/>
      <c r="B171" s="286"/>
      <c r="C171" s="177"/>
      <c r="D171" s="5"/>
      <c r="E171" s="5"/>
    </row>
    <row r="172" spans="1:10" ht="14.25" customHeight="1" thickBot="1" thickTop="1">
      <c r="A172" s="184" t="s">
        <v>221</v>
      </c>
      <c r="B172" s="286"/>
      <c r="C172" s="177"/>
      <c r="F172" s="1" t="s">
        <v>140</v>
      </c>
      <c r="G172" s="37">
        <v>6</v>
      </c>
      <c r="H172" s="149" t="s">
        <v>341</v>
      </c>
      <c r="I172" s="144"/>
      <c r="J172" s="5"/>
    </row>
    <row r="173" spans="1:10" ht="14.25" customHeight="1" thickBot="1" thickTop="1">
      <c r="A173" s="184" t="s">
        <v>90</v>
      </c>
      <c r="B173" s="286"/>
      <c r="C173" s="177"/>
      <c r="E173" s="1"/>
      <c r="F173" s="13" t="s">
        <v>135</v>
      </c>
      <c r="G173" s="37">
        <v>7</v>
      </c>
      <c r="H173" s="149" t="s">
        <v>20</v>
      </c>
      <c r="I173" s="144"/>
      <c r="J173" s="5"/>
    </row>
    <row r="174" spans="1:10" ht="14.25" customHeight="1" thickBot="1" thickTop="1">
      <c r="A174" s="184"/>
      <c r="B174" s="286"/>
      <c r="C174" s="177"/>
      <c r="E174" s="1"/>
      <c r="F174" s="13" t="s">
        <v>348</v>
      </c>
      <c r="G174" s="37">
        <v>8</v>
      </c>
      <c r="H174" s="161">
        <v>4000</v>
      </c>
      <c r="I174" s="146" t="s">
        <v>351</v>
      </c>
      <c r="J174" s="5"/>
    </row>
    <row r="175" spans="1:10" ht="14.25" customHeight="1" thickBot="1" thickTop="1">
      <c r="A175" s="184"/>
      <c r="B175" s="286"/>
      <c r="C175" s="177"/>
      <c r="E175" s="1"/>
      <c r="F175" s="13" t="s">
        <v>349</v>
      </c>
      <c r="G175" s="37">
        <f>G174+1</f>
        <v>9</v>
      </c>
      <c r="H175" s="157">
        <v>0.4</v>
      </c>
      <c r="I175" s="146"/>
      <c r="J175" s="5"/>
    </row>
    <row r="176" spans="1:10" ht="14.25" customHeight="1" hidden="1">
      <c r="A176" s="184"/>
      <c r="B176" s="286"/>
      <c r="C176" s="177"/>
      <c r="E176" s="1"/>
      <c r="F176" s="13" t="s">
        <v>350</v>
      </c>
      <c r="G176" s="37"/>
      <c r="H176" s="150">
        <f>IF(AND(H175&lt;&gt;"",H174&lt;&gt;""),EXP('係数関連'!$E$67*LN(H175)+'係数関連'!$F$67*LN(H174)+'係数関連'!$G$67),"")</f>
        <v>0.1394177593404856</v>
      </c>
      <c r="I176"/>
      <c r="J176" s="5"/>
    </row>
    <row r="177" spans="1:10" ht="14.25" customHeight="1" hidden="1">
      <c r="A177" s="184"/>
      <c r="B177" s="286"/>
      <c r="C177" s="177"/>
      <c r="E177" s="1"/>
      <c r="F177" s="147"/>
      <c r="G177" s="37"/>
      <c r="H177" s="206" t="s">
        <v>309</v>
      </c>
      <c r="J177" s="5"/>
    </row>
    <row r="178" spans="1:9" ht="14.25" customHeight="1" thickBot="1" thickTop="1">
      <c r="A178" s="184"/>
      <c r="B178" s="286"/>
      <c r="C178" s="177"/>
      <c r="H178" s="151"/>
      <c r="I178" s="70"/>
    </row>
    <row r="179" spans="1:10" ht="14.25" customHeight="1" thickBot="1" thickTop="1">
      <c r="A179" s="184"/>
      <c r="B179" s="286"/>
      <c r="C179" s="177"/>
      <c r="E179" s="1"/>
      <c r="F179" s="153" t="s">
        <v>350</v>
      </c>
      <c r="G179" s="37">
        <f>G175+1</f>
        <v>10</v>
      </c>
      <c r="H179" s="158">
        <f>H176</f>
        <v>0.1394177593404856</v>
      </c>
      <c r="I179" s="74"/>
      <c r="J179" s="71"/>
    </row>
    <row r="180" spans="1:10" ht="14.25" customHeight="1" thickTop="1">
      <c r="A180" s="184"/>
      <c r="B180" s="286"/>
      <c r="C180" s="177"/>
      <c r="H180" s="38" t="str">
        <f>IF(H172="改良トンキロ法","l／ｔｋｍ","t-CO2／ｋl")</f>
        <v>l／ｔｋｍ</v>
      </c>
      <c r="I180" s="38"/>
      <c r="J180" s="70"/>
    </row>
    <row r="181" spans="1:10" ht="14.25" customHeight="1">
      <c r="A181" s="184">
        <f>ROW('計算シート'!R40)</f>
        <v>40</v>
      </c>
      <c r="B181" s="286"/>
      <c r="C181" s="177"/>
      <c r="H181" s="70"/>
      <c r="I181" s="70"/>
      <c r="J181" s="38"/>
    </row>
    <row r="182" spans="1:11" s="176" customFormat="1" ht="14.25" customHeight="1" thickBot="1">
      <c r="A182" s="184">
        <f>ROW('計算シート'!R118)</f>
        <v>118</v>
      </c>
      <c r="B182" s="286"/>
      <c r="C182" s="185"/>
      <c r="D182" s="175"/>
      <c r="E182" s="287" t="s">
        <v>374</v>
      </c>
      <c r="F182" s="287"/>
      <c r="G182" s="287"/>
      <c r="H182" s="287"/>
      <c r="I182" s="175"/>
      <c r="J182" s="5" t="s">
        <v>228</v>
      </c>
      <c r="K182" s="39"/>
    </row>
    <row r="183" spans="1:3" ht="14.25" customHeight="1">
      <c r="A183" s="184">
        <f>ROW('計算シート'!R176)</f>
        <v>176</v>
      </c>
      <c r="B183" s="286"/>
      <c r="C183" s="177"/>
    </row>
    <row r="184" spans="1:5" ht="14.25" customHeight="1">
      <c r="A184" s="184"/>
      <c r="B184" s="286"/>
      <c r="C184" s="177"/>
      <c r="D184" s="5"/>
      <c r="E184" s="5" t="s">
        <v>154</v>
      </c>
    </row>
    <row r="185" spans="1:5" ht="14.25" customHeight="1" thickBot="1">
      <c r="A185" s="184"/>
      <c r="B185" s="286"/>
      <c r="C185" s="177"/>
      <c r="D185" s="5"/>
      <c r="E185" s="5"/>
    </row>
    <row r="186" spans="1:10" ht="14.25" customHeight="1" thickBot="1" thickTop="1">
      <c r="A186" s="184"/>
      <c r="B186" s="286"/>
      <c r="C186" s="177"/>
      <c r="F186" s="5" t="s">
        <v>160</v>
      </c>
      <c r="G186" s="37">
        <v>1</v>
      </c>
      <c r="H186" s="148" t="s">
        <v>371</v>
      </c>
      <c r="I186" s="145"/>
      <c r="J186" s="5" t="s">
        <v>222</v>
      </c>
    </row>
    <row r="187" spans="1:6" ht="14.25" customHeight="1" thickBot="1" thickTop="1">
      <c r="A187" s="184"/>
      <c r="B187" s="286"/>
      <c r="C187" s="177"/>
      <c r="F187" s="5"/>
    </row>
    <row r="188" spans="1:10" ht="14.25" customHeight="1" thickBot="1" thickTop="1">
      <c r="A188" s="184"/>
      <c r="B188" s="286"/>
      <c r="C188" s="177"/>
      <c r="F188" s="5" t="s">
        <v>161</v>
      </c>
      <c r="G188" s="37">
        <f>G186+1</f>
        <v>2</v>
      </c>
      <c r="H188" s="148" t="s">
        <v>368</v>
      </c>
      <c r="I188" s="145"/>
      <c r="J188" s="5" t="s">
        <v>223</v>
      </c>
    </row>
    <row r="189" spans="1:9" ht="14.25" customHeight="1" thickBot="1" thickTop="1">
      <c r="A189" s="184"/>
      <c r="B189" s="286"/>
      <c r="C189" s="177"/>
      <c r="H189" s="69"/>
      <c r="I189" s="69"/>
    </row>
    <row r="190" spans="1:10" ht="14.25" customHeight="1" thickBot="1" thickTop="1">
      <c r="A190" s="184"/>
      <c r="B190" s="286"/>
      <c r="C190" s="177"/>
      <c r="F190" s="5" t="s">
        <v>138</v>
      </c>
      <c r="G190" s="37">
        <f>G188+1</f>
        <v>3</v>
      </c>
      <c r="H190" s="159">
        <v>30</v>
      </c>
      <c r="I190" s="75"/>
      <c r="J190" s="5" t="s">
        <v>155</v>
      </c>
    </row>
    <row r="191" spans="1:9" ht="14.25" customHeight="1" thickBot="1" thickTop="1">
      <c r="A191" s="184"/>
      <c r="B191" s="286"/>
      <c r="C191" s="177"/>
      <c r="H191" s="38" t="s">
        <v>1</v>
      </c>
      <c r="I191" s="38"/>
    </row>
    <row r="192" spans="1:11" ht="14.25" customHeight="1" thickBot="1" thickTop="1">
      <c r="A192" s="184"/>
      <c r="B192" s="286"/>
      <c r="C192" s="177"/>
      <c r="F192" s="5" t="s">
        <v>152</v>
      </c>
      <c r="G192" s="37">
        <v>4</v>
      </c>
      <c r="H192" s="159">
        <v>83.2</v>
      </c>
      <c r="I192" s="75"/>
      <c r="J192" s="5" t="s">
        <v>156</v>
      </c>
      <c r="K192" s="40"/>
    </row>
    <row r="193" spans="1:9" ht="14.25" customHeight="1" thickTop="1">
      <c r="A193" s="184"/>
      <c r="B193" s="286"/>
      <c r="C193" s="177"/>
      <c r="H193" s="38" t="s">
        <v>157</v>
      </c>
      <c r="I193" s="38"/>
    </row>
    <row r="194" spans="1:9" ht="14.25" customHeight="1" thickBot="1">
      <c r="A194" s="184"/>
      <c r="B194" s="286"/>
      <c r="C194" s="177"/>
      <c r="E194" s="1" t="s">
        <v>226</v>
      </c>
      <c r="H194" s="38"/>
      <c r="I194" s="38"/>
    </row>
    <row r="195" spans="1:10" ht="14.25" customHeight="1" thickBot="1" thickTop="1">
      <c r="A195" s="184" t="s">
        <v>220</v>
      </c>
      <c r="B195" s="286"/>
      <c r="C195" s="177"/>
      <c r="G195" s="37">
        <v>5</v>
      </c>
      <c r="H195" s="159" t="s">
        <v>136</v>
      </c>
      <c r="I195" s="144"/>
      <c r="J195" s="5"/>
    </row>
    <row r="196" spans="1:5" ht="14.25" customHeight="1" thickBot="1" thickTop="1">
      <c r="A196" s="184"/>
      <c r="B196" s="286"/>
      <c r="C196" s="177"/>
      <c r="D196" s="5"/>
      <c r="E196" s="5"/>
    </row>
    <row r="197" spans="1:10" ht="14.25" customHeight="1" thickBot="1" thickTop="1">
      <c r="A197" s="184" t="s">
        <v>221</v>
      </c>
      <c r="B197" s="286"/>
      <c r="C197" s="177"/>
      <c r="F197" s="1" t="s">
        <v>140</v>
      </c>
      <c r="G197" s="37">
        <v>6</v>
      </c>
      <c r="H197" s="149" t="s">
        <v>341</v>
      </c>
      <c r="I197" s="144"/>
      <c r="J197" s="5"/>
    </row>
    <row r="198" spans="1:10" ht="14.25" customHeight="1" thickBot="1" thickTop="1">
      <c r="A198" s="184" t="s">
        <v>90</v>
      </c>
      <c r="B198" s="286"/>
      <c r="C198" s="177"/>
      <c r="E198" s="1"/>
      <c r="F198" s="13" t="s">
        <v>135</v>
      </c>
      <c r="G198" s="37">
        <v>7</v>
      </c>
      <c r="H198" s="149" t="s">
        <v>20</v>
      </c>
      <c r="I198" s="144"/>
      <c r="J198" s="5"/>
    </row>
    <row r="199" spans="1:10" ht="14.25" customHeight="1" thickBot="1" thickTop="1">
      <c r="A199" s="184"/>
      <c r="B199" s="286"/>
      <c r="C199" s="177"/>
      <c r="E199" s="1"/>
      <c r="F199" s="13" t="s">
        <v>348</v>
      </c>
      <c r="G199" s="37">
        <v>8</v>
      </c>
      <c r="H199" s="161">
        <v>4000</v>
      </c>
      <c r="I199" s="146" t="s">
        <v>351</v>
      </c>
      <c r="J199" s="5"/>
    </row>
    <row r="200" spans="1:10" ht="14.25" customHeight="1" thickBot="1" thickTop="1">
      <c r="A200" s="184"/>
      <c r="B200" s="286"/>
      <c r="C200" s="177"/>
      <c r="E200" s="1"/>
      <c r="F200" s="13" t="s">
        <v>349</v>
      </c>
      <c r="G200" s="37">
        <f>G199+1</f>
        <v>9</v>
      </c>
      <c r="H200" s="157">
        <v>0.4</v>
      </c>
      <c r="I200" s="146"/>
      <c r="J200" s="5"/>
    </row>
    <row r="201" spans="1:10" ht="14.25" customHeight="1" hidden="1">
      <c r="A201" s="184"/>
      <c r="B201" s="286"/>
      <c r="C201" s="177"/>
      <c r="E201" s="1"/>
      <c r="F201" s="13" t="s">
        <v>350</v>
      </c>
      <c r="G201" s="37"/>
      <c r="H201" s="150">
        <f>IF(AND(H200&lt;&gt;"",H199&lt;&gt;""),EXP('係数関連'!$E$67*LN(H200)+'係数関連'!$F$67*LN(H199)+'係数関連'!$G$67),"")</f>
        <v>0.1394177593404856</v>
      </c>
      <c r="I201"/>
      <c r="J201" s="5"/>
    </row>
    <row r="202" spans="1:10" ht="14.25" customHeight="1" hidden="1">
      <c r="A202" s="184"/>
      <c r="B202" s="286"/>
      <c r="C202" s="177"/>
      <c r="E202" s="1"/>
      <c r="F202" s="147"/>
      <c r="G202" s="37"/>
      <c r="H202" s="206" t="s">
        <v>309</v>
      </c>
      <c r="J202" s="5"/>
    </row>
    <row r="203" spans="1:9" ht="14.25" customHeight="1" thickBot="1" thickTop="1">
      <c r="A203" s="184"/>
      <c r="B203" s="286"/>
      <c r="C203" s="177"/>
      <c r="H203" s="151"/>
      <c r="I203" s="70"/>
    </row>
    <row r="204" spans="1:10" ht="14.25" customHeight="1" thickBot="1" thickTop="1">
      <c r="A204" s="184"/>
      <c r="B204" s="286"/>
      <c r="C204" s="177"/>
      <c r="E204" s="1"/>
      <c r="F204" s="153" t="s">
        <v>350</v>
      </c>
      <c r="G204" s="37">
        <f>G200+1</f>
        <v>10</v>
      </c>
      <c r="H204" s="158">
        <f>H201</f>
        <v>0.1394177593404856</v>
      </c>
      <c r="I204" s="74"/>
      <c r="J204" s="71"/>
    </row>
    <row r="205" spans="1:10" ht="14.25" customHeight="1" thickTop="1">
      <c r="A205" s="184"/>
      <c r="B205" s="286"/>
      <c r="C205" s="177"/>
      <c r="H205" s="38" t="str">
        <f>IF(H197="改良トンキロ法","l／ｔｋｍ","t-CO2／ｋl")</f>
        <v>l／ｔｋｍ</v>
      </c>
      <c r="I205" s="38"/>
      <c r="J205" s="70"/>
    </row>
    <row r="206" spans="1:10" ht="25.5" customHeight="1">
      <c r="A206" s="184"/>
      <c r="C206" s="177"/>
      <c r="H206" s="70"/>
      <c r="I206" s="70"/>
      <c r="J206" s="38"/>
    </row>
    <row r="207" spans="2:10" ht="14.25" customHeight="1">
      <c r="B207" s="6" t="s">
        <v>153</v>
      </c>
      <c r="C207" s="6"/>
      <c r="D207" s="6"/>
      <c r="E207" s="6"/>
      <c r="F207" s="35"/>
      <c r="G207" s="36"/>
      <c r="H207" s="68"/>
      <c r="I207" s="68"/>
      <c r="J207" s="35"/>
    </row>
    <row r="208" spans="1:10" ht="14.25" customHeight="1">
      <c r="A208" s="184">
        <f>ROW('計算シート'!R52)</f>
        <v>52</v>
      </c>
      <c r="B208" s="286"/>
      <c r="C208" s="177"/>
      <c r="H208" s="70"/>
      <c r="I208" s="70"/>
      <c r="J208" s="38"/>
    </row>
    <row r="209" spans="1:11" s="176" customFormat="1" ht="14.25" customHeight="1" thickBot="1">
      <c r="A209" s="184">
        <f>ROW('計算シート'!R126)</f>
        <v>126</v>
      </c>
      <c r="B209" s="286"/>
      <c r="C209" s="185"/>
      <c r="D209" s="175"/>
      <c r="E209" s="287" t="s">
        <v>375</v>
      </c>
      <c r="F209" s="287"/>
      <c r="G209" s="287"/>
      <c r="H209" s="287"/>
      <c r="I209" s="175"/>
      <c r="J209" s="5" t="s">
        <v>228</v>
      </c>
      <c r="K209" s="39"/>
    </row>
    <row r="210" spans="1:3" ht="14.25" customHeight="1">
      <c r="A210" s="184">
        <f>ROW('計算シート'!R188)</f>
        <v>188</v>
      </c>
      <c r="B210" s="286"/>
      <c r="C210" s="177"/>
    </row>
    <row r="211" spans="1:5" ht="14.25" customHeight="1">
      <c r="A211" s="184"/>
      <c r="B211" s="286"/>
      <c r="C211" s="177"/>
      <c r="D211" s="5"/>
      <c r="E211" s="5" t="s">
        <v>154</v>
      </c>
    </row>
    <row r="212" spans="1:5" ht="14.25" customHeight="1" thickBot="1">
      <c r="A212" s="184"/>
      <c r="B212" s="286"/>
      <c r="C212" s="177"/>
      <c r="D212" s="5"/>
      <c r="E212" s="5"/>
    </row>
    <row r="213" spans="1:10" ht="14.25" customHeight="1" thickBot="1" thickTop="1">
      <c r="A213" s="184"/>
      <c r="B213" s="286"/>
      <c r="C213" s="177"/>
      <c r="F213" s="5" t="s">
        <v>160</v>
      </c>
      <c r="G213" s="37">
        <v>1</v>
      </c>
      <c r="H213" s="148" t="s">
        <v>376</v>
      </c>
      <c r="I213" s="145"/>
      <c r="J213" s="5" t="s">
        <v>222</v>
      </c>
    </row>
    <row r="214" spans="1:6" ht="14.25" customHeight="1" thickBot="1" thickTop="1">
      <c r="A214" s="184"/>
      <c r="B214" s="286"/>
      <c r="C214" s="177"/>
      <c r="F214" s="5"/>
    </row>
    <row r="215" spans="1:10" ht="14.25" customHeight="1" thickBot="1" thickTop="1">
      <c r="A215" s="184"/>
      <c r="B215" s="286"/>
      <c r="C215" s="177"/>
      <c r="F215" s="5" t="s">
        <v>161</v>
      </c>
      <c r="G215" s="37">
        <f>G213+1</f>
        <v>2</v>
      </c>
      <c r="H215" s="148" t="s">
        <v>377</v>
      </c>
      <c r="I215" s="145"/>
      <c r="J215" s="5" t="s">
        <v>223</v>
      </c>
    </row>
    <row r="216" spans="1:9" ht="14.25" customHeight="1" thickBot="1" thickTop="1">
      <c r="A216" s="184"/>
      <c r="B216" s="286"/>
      <c r="C216" s="177"/>
      <c r="H216" s="69"/>
      <c r="I216" s="69"/>
    </row>
    <row r="217" spans="1:10" ht="14.25" customHeight="1" thickBot="1" thickTop="1">
      <c r="A217" s="184"/>
      <c r="B217" s="286"/>
      <c r="C217" s="177"/>
      <c r="F217" s="5" t="s">
        <v>138</v>
      </c>
      <c r="G217" s="37">
        <f>G215+1</f>
        <v>3</v>
      </c>
      <c r="H217" s="159">
        <v>30</v>
      </c>
      <c r="I217" s="75"/>
      <c r="J217" s="5" t="s">
        <v>155</v>
      </c>
    </row>
    <row r="218" spans="1:9" ht="14.25" customHeight="1" thickBot="1" thickTop="1">
      <c r="A218" s="184"/>
      <c r="B218" s="286"/>
      <c r="C218" s="177"/>
      <c r="H218" s="38" t="s">
        <v>1</v>
      </c>
      <c r="I218" s="38"/>
    </row>
    <row r="219" spans="1:11" ht="14.25" customHeight="1" thickBot="1" thickTop="1">
      <c r="A219" s="184"/>
      <c r="B219" s="286"/>
      <c r="C219" s="177"/>
      <c r="F219" s="5" t="s">
        <v>152</v>
      </c>
      <c r="G219" s="37">
        <v>4</v>
      </c>
      <c r="H219" s="159">
        <v>4541.3</v>
      </c>
      <c r="I219" s="75"/>
      <c r="J219" s="5" t="s">
        <v>156</v>
      </c>
      <c r="K219" s="40"/>
    </row>
    <row r="220" spans="1:9" ht="14.25" customHeight="1" thickTop="1">
      <c r="A220" s="184"/>
      <c r="B220" s="286"/>
      <c r="C220" s="177"/>
      <c r="H220" s="38" t="s">
        <v>157</v>
      </c>
      <c r="I220" s="38"/>
    </row>
    <row r="221" spans="1:9" ht="14.25" customHeight="1" thickBot="1">
      <c r="A221" s="184"/>
      <c r="B221" s="286"/>
      <c r="C221" s="177"/>
      <c r="E221" s="1" t="s">
        <v>226</v>
      </c>
      <c r="H221" s="38"/>
      <c r="I221" s="38"/>
    </row>
    <row r="222" spans="1:10" ht="14.25" customHeight="1" thickBot="1" thickTop="1">
      <c r="A222" s="184" t="s">
        <v>220</v>
      </c>
      <c r="B222" s="286"/>
      <c r="C222" s="177"/>
      <c r="G222" s="37">
        <v>5</v>
      </c>
      <c r="H222" s="159" t="s">
        <v>136</v>
      </c>
      <c r="I222" s="144"/>
      <c r="J222" s="5"/>
    </row>
    <row r="223" spans="1:5" ht="14.25" customHeight="1" thickBot="1" thickTop="1">
      <c r="A223" s="184"/>
      <c r="B223" s="286"/>
      <c r="C223" s="177"/>
      <c r="D223" s="5"/>
      <c r="E223" s="5"/>
    </row>
    <row r="224" spans="1:10" ht="14.25" customHeight="1" thickBot="1" thickTop="1">
      <c r="A224" s="184" t="s">
        <v>221</v>
      </c>
      <c r="B224" s="286"/>
      <c r="C224" s="177"/>
      <c r="F224" s="1" t="s">
        <v>140</v>
      </c>
      <c r="G224" s="37">
        <v>6</v>
      </c>
      <c r="H224" s="149" t="s">
        <v>341</v>
      </c>
      <c r="I224" s="144"/>
      <c r="J224" s="5"/>
    </row>
    <row r="225" spans="1:10" ht="14.25" customHeight="1" thickBot="1" thickTop="1">
      <c r="A225" s="184" t="s">
        <v>90</v>
      </c>
      <c r="B225" s="286"/>
      <c r="C225" s="177"/>
      <c r="E225" s="1"/>
      <c r="F225" s="13" t="s">
        <v>135</v>
      </c>
      <c r="G225" s="37">
        <v>7</v>
      </c>
      <c r="H225" s="149" t="s">
        <v>20</v>
      </c>
      <c r="I225" s="144"/>
      <c r="J225" s="5"/>
    </row>
    <row r="226" spans="1:10" ht="14.25" customHeight="1" thickBot="1" thickTop="1">
      <c r="A226" s="184"/>
      <c r="B226" s="286"/>
      <c r="C226" s="177"/>
      <c r="E226" s="1"/>
      <c r="F226" s="13" t="s">
        <v>348</v>
      </c>
      <c r="G226" s="37">
        <v>8</v>
      </c>
      <c r="H226" s="161">
        <v>20000</v>
      </c>
      <c r="I226" s="146" t="s">
        <v>351</v>
      </c>
      <c r="J226" s="5"/>
    </row>
    <row r="227" spans="1:10" ht="14.25" customHeight="1" thickBot="1" thickTop="1">
      <c r="A227" s="184"/>
      <c r="B227" s="286"/>
      <c r="C227" s="177"/>
      <c r="E227" s="1"/>
      <c r="F227" s="13" t="s">
        <v>349</v>
      </c>
      <c r="G227" s="37">
        <f>G226+1</f>
        <v>9</v>
      </c>
      <c r="H227" s="157">
        <v>0.8</v>
      </c>
      <c r="I227" s="146"/>
      <c r="J227" s="5"/>
    </row>
    <row r="228" spans="1:10" ht="14.25" customHeight="1" hidden="1">
      <c r="A228" s="184"/>
      <c r="B228" s="286"/>
      <c r="C228" s="177"/>
      <c r="E228" s="1"/>
      <c r="F228" s="13" t="s">
        <v>350</v>
      </c>
      <c r="G228" s="37"/>
      <c r="H228" s="150">
        <f>IF(AND(H227&lt;&gt;"",H226&lt;&gt;""),EXP('係数関連'!$E$67*LN(H227)+'係数関連'!$F$67*LN(H226)+'係数関連'!$G$67),"")</f>
        <v>0.027717583169983646</v>
      </c>
      <c r="I228"/>
      <c r="J228" s="5"/>
    </row>
    <row r="229" spans="1:10" ht="14.25" customHeight="1" hidden="1">
      <c r="A229" s="184"/>
      <c r="B229" s="286"/>
      <c r="C229" s="177"/>
      <c r="E229" s="1"/>
      <c r="F229" s="147"/>
      <c r="G229" s="37"/>
      <c r="H229" s="206" t="s">
        <v>309</v>
      </c>
      <c r="J229" s="5"/>
    </row>
    <row r="230" spans="1:9" ht="14.25" customHeight="1" thickBot="1" thickTop="1">
      <c r="A230" s="184"/>
      <c r="B230" s="286"/>
      <c r="C230" s="177"/>
      <c r="H230" s="151"/>
      <c r="I230" s="70"/>
    </row>
    <row r="231" spans="1:10" ht="14.25" customHeight="1" thickBot="1" thickTop="1">
      <c r="A231" s="184"/>
      <c r="B231" s="286"/>
      <c r="C231" s="177"/>
      <c r="E231" s="1"/>
      <c r="F231" s="153" t="s">
        <v>350</v>
      </c>
      <c r="G231" s="37">
        <f>G227+1</f>
        <v>10</v>
      </c>
      <c r="H231" s="158">
        <f>H228</f>
        <v>0.027717583169983646</v>
      </c>
      <c r="I231" s="74"/>
      <c r="J231" s="71"/>
    </row>
    <row r="232" spans="1:10" ht="14.25" customHeight="1" thickTop="1">
      <c r="A232" s="184"/>
      <c r="B232" s="286"/>
      <c r="C232" s="177"/>
      <c r="H232" s="38" t="str">
        <f>IF(H224="改良トンキロ法","l／ｔｋｍ","t-CO2／ｋl")</f>
        <v>l／ｔｋｍ</v>
      </c>
      <c r="I232" s="38"/>
      <c r="J232" s="70"/>
    </row>
    <row r="233" spans="1:10" ht="14.25" customHeight="1">
      <c r="A233" s="184">
        <f>ROW('計算シート'!R57)</f>
        <v>57</v>
      </c>
      <c r="B233" s="286"/>
      <c r="C233" s="177"/>
      <c r="H233" s="70"/>
      <c r="I233" s="70"/>
      <c r="J233" s="38"/>
    </row>
    <row r="234" spans="1:11" s="176" customFormat="1" ht="14.25" customHeight="1" thickBot="1">
      <c r="A234" s="184">
        <f>ROW('計算シート'!R131)</f>
        <v>131</v>
      </c>
      <c r="B234" s="286"/>
      <c r="C234" s="185"/>
      <c r="D234" s="175"/>
      <c r="E234" s="287" t="s">
        <v>378</v>
      </c>
      <c r="F234" s="287"/>
      <c r="G234" s="287"/>
      <c r="H234" s="287"/>
      <c r="I234" s="175"/>
      <c r="J234" s="5" t="s">
        <v>228</v>
      </c>
      <c r="K234" s="39"/>
    </row>
    <row r="235" spans="1:3" ht="14.25" customHeight="1">
      <c r="A235" s="184">
        <f>ROW('計算シート'!R193)</f>
        <v>193</v>
      </c>
      <c r="B235" s="286"/>
      <c r="C235" s="177"/>
    </row>
    <row r="236" spans="1:5" ht="14.25" customHeight="1">
      <c r="A236" s="184"/>
      <c r="B236" s="286"/>
      <c r="C236" s="177"/>
      <c r="D236" s="5"/>
      <c r="E236" s="5" t="s">
        <v>154</v>
      </c>
    </row>
    <row r="237" spans="1:5" ht="14.25" customHeight="1" thickBot="1">
      <c r="A237" s="184"/>
      <c r="B237" s="286"/>
      <c r="C237" s="177"/>
      <c r="D237" s="5"/>
      <c r="E237" s="5"/>
    </row>
    <row r="238" spans="1:10" ht="14.25" customHeight="1" thickBot="1" thickTop="1">
      <c r="A238" s="184"/>
      <c r="B238" s="286"/>
      <c r="C238" s="177"/>
      <c r="F238" s="5" t="s">
        <v>160</v>
      </c>
      <c r="G238" s="37">
        <v>1</v>
      </c>
      <c r="H238" s="148" t="s">
        <v>379</v>
      </c>
      <c r="I238" s="145"/>
      <c r="J238" s="5" t="s">
        <v>222</v>
      </c>
    </row>
    <row r="239" spans="1:6" ht="14.25" customHeight="1" thickBot="1" thickTop="1">
      <c r="A239" s="184"/>
      <c r="B239" s="286"/>
      <c r="C239" s="177"/>
      <c r="F239" s="5"/>
    </row>
    <row r="240" spans="1:10" ht="14.25" customHeight="1" thickBot="1" thickTop="1">
      <c r="A240" s="184"/>
      <c r="B240" s="286"/>
      <c r="C240" s="177"/>
      <c r="F240" s="5" t="s">
        <v>161</v>
      </c>
      <c r="G240" s="37">
        <f>G238+1</f>
        <v>2</v>
      </c>
      <c r="H240" s="227" t="s">
        <v>380</v>
      </c>
      <c r="I240" s="145"/>
      <c r="J240" s="5" t="s">
        <v>223</v>
      </c>
    </row>
    <row r="241" spans="1:9" ht="14.25" customHeight="1" thickBot="1" thickTop="1">
      <c r="A241" s="184"/>
      <c r="B241" s="286"/>
      <c r="C241" s="177"/>
      <c r="H241" s="69"/>
      <c r="I241" s="69"/>
    </row>
    <row r="242" spans="1:10" ht="14.25" customHeight="1" thickBot="1" thickTop="1">
      <c r="A242" s="184"/>
      <c r="B242" s="286"/>
      <c r="C242" s="177"/>
      <c r="F242" s="5" t="s">
        <v>138</v>
      </c>
      <c r="G242" s="37">
        <f>G240+1</f>
        <v>3</v>
      </c>
      <c r="H242" s="159">
        <v>30</v>
      </c>
      <c r="I242" s="75"/>
      <c r="J242" s="5" t="s">
        <v>155</v>
      </c>
    </row>
    <row r="243" spans="1:9" ht="14.25" customHeight="1" thickBot="1" thickTop="1">
      <c r="A243" s="184"/>
      <c r="B243" s="286"/>
      <c r="C243" s="177"/>
      <c r="H243" s="38" t="s">
        <v>1</v>
      </c>
      <c r="I243" s="38"/>
    </row>
    <row r="244" spans="1:11" ht="14.25" customHeight="1" thickBot="1" thickTop="1">
      <c r="A244" s="184"/>
      <c r="B244" s="286"/>
      <c r="C244" s="177"/>
      <c r="F244" s="5" t="s">
        <v>152</v>
      </c>
      <c r="G244" s="37">
        <v>4</v>
      </c>
      <c r="H244" s="159">
        <v>4492.8</v>
      </c>
      <c r="I244" s="75"/>
      <c r="J244" s="5" t="s">
        <v>156</v>
      </c>
      <c r="K244" s="40"/>
    </row>
    <row r="245" spans="1:9" ht="14.25" customHeight="1" thickTop="1">
      <c r="A245" s="184"/>
      <c r="B245" s="286"/>
      <c r="C245" s="177"/>
      <c r="H245" s="38" t="s">
        <v>157</v>
      </c>
      <c r="I245" s="38"/>
    </row>
    <row r="246" spans="1:9" ht="14.25" customHeight="1" thickBot="1">
      <c r="A246" s="184"/>
      <c r="B246" s="286"/>
      <c r="C246" s="177"/>
      <c r="E246" s="1" t="s">
        <v>226</v>
      </c>
      <c r="H246" s="38"/>
      <c r="I246" s="38"/>
    </row>
    <row r="247" spans="1:10" ht="14.25" customHeight="1" thickBot="1" thickTop="1">
      <c r="A247" s="184" t="s">
        <v>220</v>
      </c>
      <c r="B247" s="286"/>
      <c r="C247" s="177"/>
      <c r="G247" s="37">
        <v>5</v>
      </c>
      <c r="H247" s="159" t="s">
        <v>136</v>
      </c>
      <c r="I247" s="144"/>
      <c r="J247" s="5"/>
    </row>
    <row r="248" spans="1:5" ht="14.25" customHeight="1" thickBot="1" thickTop="1">
      <c r="A248" s="184"/>
      <c r="B248" s="286"/>
      <c r="C248" s="177"/>
      <c r="D248" s="5"/>
      <c r="E248" s="5"/>
    </row>
    <row r="249" spans="1:10" ht="14.25" customHeight="1" thickBot="1" thickTop="1">
      <c r="A249" s="184" t="s">
        <v>221</v>
      </c>
      <c r="B249" s="286"/>
      <c r="C249" s="177"/>
      <c r="F249" s="1" t="s">
        <v>140</v>
      </c>
      <c r="G249" s="37">
        <v>6</v>
      </c>
      <c r="H249" s="149" t="s">
        <v>341</v>
      </c>
      <c r="I249" s="144"/>
      <c r="J249" s="5"/>
    </row>
    <row r="250" spans="1:10" ht="14.25" customHeight="1" thickBot="1" thickTop="1">
      <c r="A250" s="184" t="s">
        <v>90</v>
      </c>
      <c r="B250" s="286"/>
      <c r="C250" s="177"/>
      <c r="E250" s="1"/>
      <c r="F250" s="13" t="s">
        <v>135</v>
      </c>
      <c r="G250" s="37">
        <v>7</v>
      </c>
      <c r="H250" s="149" t="s">
        <v>343</v>
      </c>
      <c r="I250" s="144"/>
      <c r="J250" s="5"/>
    </row>
    <row r="251" spans="1:10" ht="14.25" customHeight="1" thickBot="1" thickTop="1">
      <c r="A251" s="184"/>
      <c r="B251" s="286"/>
      <c r="C251" s="177"/>
      <c r="E251" s="1"/>
      <c r="F251" s="13" t="s">
        <v>348</v>
      </c>
      <c r="G251" s="37">
        <v>8</v>
      </c>
      <c r="H251" s="161">
        <v>20000</v>
      </c>
      <c r="I251" s="146" t="s">
        <v>351</v>
      </c>
      <c r="J251" s="5"/>
    </row>
    <row r="252" spans="1:10" ht="14.25" customHeight="1" thickBot="1" thickTop="1">
      <c r="A252" s="184"/>
      <c r="B252" s="286"/>
      <c r="C252" s="177"/>
      <c r="E252" s="1"/>
      <c r="F252" s="13" t="s">
        <v>349</v>
      </c>
      <c r="G252" s="37">
        <f>G251+1</f>
        <v>9</v>
      </c>
      <c r="H252" s="157">
        <v>0.8</v>
      </c>
      <c r="I252" s="146"/>
      <c r="J252" s="5"/>
    </row>
    <row r="253" spans="1:10" ht="14.25" customHeight="1" hidden="1">
      <c r="A253" s="184"/>
      <c r="B253" s="286"/>
      <c r="C253" s="177"/>
      <c r="E253" s="1"/>
      <c r="F253" s="13" t="s">
        <v>350</v>
      </c>
      <c r="G253" s="37"/>
      <c r="H253" s="150">
        <f>IF(AND(H252&lt;&gt;"",H251&lt;&gt;""),EXP('係数関連'!$E$67*LN(H252)+'係数関連'!$F$67*LN(H251)+'係数関連'!$G$67),"")</f>
        <v>0.027717583169983646</v>
      </c>
      <c r="I253"/>
      <c r="J253" s="5"/>
    </row>
    <row r="254" spans="1:10" ht="14.25" customHeight="1" hidden="1" thickBot="1" thickTop="1">
      <c r="A254" s="184"/>
      <c r="B254" s="286"/>
      <c r="C254" s="177"/>
      <c r="E254" s="1"/>
      <c r="F254" s="147"/>
      <c r="G254" s="37"/>
      <c r="H254" s="206" t="s">
        <v>309</v>
      </c>
      <c r="J254" s="5"/>
    </row>
    <row r="255" spans="1:9" ht="14.25" customHeight="1" thickBot="1" thickTop="1">
      <c r="A255" s="184"/>
      <c r="B255" s="286"/>
      <c r="C255" s="177"/>
      <c r="H255" s="151"/>
      <c r="I255" s="70"/>
    </row>
    <row r="256" spans="1:10" ht="14.25" customHeight="1" thickBot="1" thickTop="1">
      <c r="A256" s="184"/>
      <c r="B256" s="286"/>
      <c r="C256" s="177"/>
      <c r="E256" s="1"/>
      <c r="F256" s="153" t="s">
        <v>350</v>
      </c>
      <c r="G256" s="37">
        <f>G252+1</f>
        <v>10</v>
      </c>
      <c r="H256" s="158">
        <f>H253</f>
        <v>0.027717583169983646</v>
      </c>
      <c r="I256" s="74"/>
      <c r="J256" s="71"/>
    </row>
    <row r="257" spans="1:10" ht="14.25" customHeight="1" thickTop="1">
      <c r="A257" s="184"/>
      <c r="B257" s="286"/>
      <c r="C257" s="177"/>
      <c r="H257" s="38" t="str">
        <f>IF(H249="改良トンキロ法","l／ｔｋｍ","t-CO2／ｋl")</f>
        <v>l／ｔｋｍ</v>
      </c>
      <c r="I257" s="38"/>
      <c r="J257" s="70"/>
    </row>
    <row r="258" spans="1:10" ht="27" customHeight="1">
      <c r="A258" s="184"/>
      <c r="C258" s="177"/>
      <c r="H258" s="205"/>
      <c r="I258" s="70"/>
      <c r="J258" s="38"/>
    </row>
    <row r="259" spans="2:10" ht="14.25" customHeight="1">
      <c r="B259" s="6"/>
      <c r="C259" s="6"/>
      <c r="D259" s="6"/>
      <c r="E259" s="6"/>
      <c r="F259" s="35"/>
      <c r="G259" s="36"/>
      <c r="H259" s="68"/>
      <c r="I259" s="68"/>
      <c r="J259" s="35"/>
    </row>
    <row r="260" ht="14.25" customHeight="1"/>
    <row r="261" ht="14.25" customHeight="1"/>
    <row r="262" ht="14.25" customHeight="1"/>
  </sheetData>
  <sheetProtection password="C9A1" sheet="1" objects="1" scenarios="1" selectLockedCells="1" selectUnlockedCells="1"/>
  <mergeCells count="20">
    <mergeCell ref="B6:B30"/>
    <mergeCell ref="E7:H7"/>
    <mergeCell ref="B31:B55"/>
    <mergeCell ref="E32:H32"/>
    <mergeCell ref="B56:B80"/>
    <mergeCell ref="E57:H57"/>
    <mergeCell ref="B81:B105"/>
    <mergeCell ref="E82:H82"/>
    <mergeCell ref="B106:B130"/>
    <mergeCell ref="E107:H107"/>
    <mergeCell ref="B131:B155"/>
    <mergeCell ref="E132:H132"/>
    <mergeCell ref="B156:B180"/>
    <mergeCell ref="E157:H157"/>
    <mergeCell ref="B181:B205"/>
    <mergeCell ref="E182:H182"/>
    <mergeCell ref="B208:B232"/>
    <mergeCell ref="E209:H209"/>
    <mergeCell ref="B233:B257"/>
    <mergeCell ref="E234:H234"/>
  </mergeCells>
  <dataValidations count="7">
    <dataValidation type="list" allowBlank="1" showInputMessage="1" showErrorMessage="1" sqref="I20 I45 I70 I95 I120 I145 I170 I195 I222 I247">
      <formula1>"トラック,内航船舶,鉄道,航空"</formula1>
    </dataValidation>
    <dataValidation type="list" allowBlank="1" showInputMessage="1" sqref="I22 I47 I72 I97 I122 I147 I172 I197 I224 I249">
      <formula1>"燃料法,燃費法,改良トンキロ法"</formula1>
    </dataValidation>
    <dataValidation type="list" allowBlank="1" showInputMessage="1" showErrorMessage="1" sqref="I23 I48 I73 I98 I123 I148 I173 I198 I225 I250">
      <formula1>"ガソリン,軽油,液化石油ガス(LPG),都市ガス,電気"</formula1>
    </dataValidation>
    <dataValidation type="list" allowBlank="1" showInputMessage="1" showErrorMessage="1" sqref="H20 H45 H70 H95 H120 H145 H170 H195 H222 H247">
      <formula1>"トラック,鉄道,内航船舶,航空"</formula1>
    </dataValidation>
    <dataValidation type="list" allowBlank="1" showInputMessage="1" showErrorMessage="1" sqref="H27 H52 H77 H102 H127 H152 H177 H202 H229 H254">
      <formula1>"営業用普通車,営業用小型車,営業用軽自動車,自家用普通車,自家用小型車"</formula1>
    </dataValidation>
    <dataValidation type="list" allowBlank="1" showInputMessage="1" showErrorMessage="1" sqref="H22 H47 H72 H97 H122 H147 H172 H197 H224 H249">
      <formula1>"燃料法,燃費法,改良トンキロ法,トンキロ法"</formula1>
    </dataValidation>
    <dataValidation type="list" allowBlank="1" showInputMessage="1" showErrorMessage="1" sqref="H225 H23 H48 H73 H98 H123 H148 H173 H198 H250">
      <formula1>"軽油,ガソリン"</formula1>
    </dataValidation>
  </dataValidations>
  <printOptions/>
  <pageMargins left="0.75" right="0.75" top="1" bottom="1" header="0.512" footer="0.512"/>
  <pageSetup fitToHeight="0" fitToWidth="1" horizontalDpi="600" verticalDpi="600" orientation="portrait" paperSize="9" scale="71" r:id="rId2"/>
  <drawing r:id="rId1"/>
</worksheet>
</file>

<file path=xl/worksheets/sheet3.xml><?xml version="1.0" encoding="utf-8"?>
<worksheet xmlns="http://schemas.openxmlformats.org/spreadsheetml/2006/main" xmlns:r="http://schemas.openxmlformats.org/officeDocument/2006/relationships">
  <sheetPr codeName="Sheet7">
    <tabColor indexed="43"/>
    <pageSetUpPr fitToPage="1"/>
  </sheetPr>
  <dimension ref="A1:AE220"/>
  <sheetViews>
    <sheetView workbookViewId="0" topLeftCell="F97">
      <selection activeCell="F2" sqref="F2"/>
    </sheetView>
  </sheetViews>
  <sheetFormatPr defaultColWidth="9.00390625" defaultRowHeight="13.5"/>
  <cols>
    <col min="1" max="5" width="6.125" style="0" hidden="1" customWidth="1"/>
    <col min="6" max="6" width="6.125" style="27" customWidth="1"/>
    <col min="7" max="7" width="4.625" style="27" customWidth="1"/>
    <col min="8" max="8" width="7.00390625" style="27" customWidth="1"/>
    <col min="9" max="9" width="3.625" style="27" customWidth="1"/>
    <col min="10" max="10" width="9.625" style="28" customWidth="1"/>
    <col min="11" max="11" width="3.625" style="29" customWidth="1"/>
    <col min="12" max="12" width="3.625" style="30" customWidth="1"/>
    <col min="13" max="13" width="9.625" style="28" customWidth="1"/>
    <col min="14" max="14" width="3.625" style="29" customWidth="1"/>
    <col min="15" max="15" width="3.625" style="30" customWidth="1"/>
    <col min="16" max="16" width="9.625" style="28" customWidth="1"/>
    <col min="17" max="18" width="3.375" style="28" customWidth="1"/>
    <col min="19" max="19" width="9.625" style="28" customWidth="1"/>
    <col min="20" max="20" width="3.625" style="29" customWidth="1"/>
    <col min="21" max="21" width="4.625" style="31" customWidth="1"/>
    <col min="22" max="22" width="3.625" style="29" customWidth="1"/>
    <col min="23" max="23" width="3.625" style="31" customWidth="1"/>
    <col min="24" max="24" width="12.375" style="28" customWidth="1"/>
    <col min="25" max="26" width="3.625" style="32" customWidth="1"/>
    <col min="27" max="27" width="9.00390625" style="33" customWidth="1"/>
    <col min="28" max="28" width="3.625" style="32" customWidth="1"/>
    <col min="29" max="29" width="3.625" style="34" customWidth="1"/>
  </cols>
  <sheetData>
    <row r="1" spans="1:29" ht="33" customHeight="1">
      <c r="A1" t="s">
        <v>217</v>
      </c>
      <c r="B1">
        <f>ROW($45:$45)</f>
        <v>45</v>
      </c>
      <c r="C1">
        <f>ROW($62:$62)</f>
        <v>62</v>
      </c>
      <c r="F1" s="41" t="s">
        <v>162</v>
      </c>
      <c r="G1" s="42"/>
      <c r="H1" s="43"/>
      <c r="I1" s="43"/>
      <c r="J1" s="44"/>
      <c r="K1" s="45"/>
      <c r="L1" s="46"/>
      <c r="M1" s="44"/>
      <c r="N1" s="45"/>
      <c r="O1" s="46"/>
      <c r="P1" s="44"/>
      <c r="Q1" s="44"/>
      <c r="R1" s="44"/>
      <c r="S1" s="44"/>
      <c r="T1" s="45"/>
      <c r="U1" s="47"/>
      <c r="V1" s="45"/>
      <c r="W1" s="47"/>
      <c r="X1" s="44"/>
      <c r="Y1" s="48"/>
      <c r="Z1" s="48"/>
      <c r="AA1" s="49"/>
      <c r="AB1" s="10"/>
      <c r="AC1" s="12"/>
    </row>
    <row r="2" spans="1:31" ht="33" customHeight="1">
      <c r="A2" t="s">
        <v>218</v>
      </c>
      <c r="B2">
        <f>ROW($123:$123)</f>
        <v>123</v>
      </c>
      <c r="C2">
        <f>ROW($136:$136)</f>
        <v>136</v>
      </c>
      <c r="F2" s="2"/>
      <c r="G2" s="2"/>
      <c r="H2" s="2"/>
      <c r="I2" s="2"/>
      <c r="J2" s="7"/>
      <c r="K2" s="8"/>
      <c r="L2" s="3"/>
      <c r="M2" s="7"/>
      <c r="N2" s="8"/>
      <c r="O2" s="3"/>
      <c r="P2" s="7"/>
      <c r="Q2" s="288" t="s">
        <v>163</v>
      </c>
      <c r="R2" s="288"/>
      <c r="S2" s="288"/>
      <c r="T2" s="288"/>
      <c r="U2" s="288"/>
      <c r="V2" s="288"/>
      <c r="W2" s="288"/>
      <c r="X2" s="288"/>
      <c r="Y2" s="288"/>
      <c r="Z2" s="288"/>
      <c r="AA2" s="288"/>
      <c r="AB2" s="164"/>
      <c r="AC2" s="164"/>
      <c r="AD2" s="10"/>
      <c r="AE2" s="12"/>
    </row>
    <row r="3" spans="1:29" ht="14.25">
      <c r="A3" t="s">
        <v>219</v>
      </c>
      <c r="B3">
        <f>ROW($181:$181)</f>
        <v>181</v>
      </c>
      <c r="C3">
        <f>ROW($198:$198)</f>
        <v>198</v>
      </c>
      <c r="F3" s="41" t="s">
        <v>2</v>
      </c>
      <c r="G3" s="42"/>
      <c r="H3" s="43"/>
      <c r="I3" s="43"/>
      <c r="J3" s="44"/>
      <c r="K3" s="45"/>
      <c r="L3" s="46"/>
      <c r="M3" s="44"/>
      <c r="N3" s="45"/>
      <c r="O3" s="46"/>
      <c r="P3" s="44"/>
      <c r="Q3" s="44"/>
      <c r="R3" s="44"/>
      <c r="S3" s="44"/>
      <c r="T3" s="45"/>
      <c r="U3" s="47"/>
      <c r="V3" s="45"/>
      <c r="W3" s="47"/>
      <c r="X3" s="44"/>
      <c r="Y3" s="48"/>
      <c r="Z3" s="48"/>
      <c r="AA3" s="49"/>
      <c r="AB3" s="10"/>
      <c r="AC3" s="12"/>
    </row>
    <row r="4" spans="6:31" ht="15" customHeight="1">
      <c r="F4" s="2"/>
      <c r="G4" s="2"/>
      <c r="H4" s="2"/>
      <c r="I4" s="2"/>
      <c r="J4" s="7"/>
      <c r="K4" s="8"/>
      <c r="L4" s="3"/>
      <c r="M4" s="7"/>
      <c r="N4" s="8"/>
      <c r="O4" s="3"/>
      <c r="P4" s="7"/>
      <c r="Q4" s="164"/>
      <c r="R4" s="164"/>
      <c r="S4" s="164"/>
      <c r="T4" s="164"/>
      <c r="U4" s="164"/>
      <c r="V4" s="164"/>
      <c r="W4" s="164"/>
      <c r="X4" s="164"/>
      <c r="Y4" s="164"/>
      <c r="Z4" s="164"/>
      <c r="AA4" s="164"/>
      <c r="AB4" s="164"/>
      <c r="AC4" s="164"/>
      <c r="AD4" s="10"/>
      <c r="AE4" s="12"/>
    </row>
    <row r="5" spans="3:29" ht="16.5" customHeight="1">
      <c r="C5" s="41" t="s">
        <v>342</v>
      </c>
      <c r="F5" s="2"/>
      <c r="G5" s="13" t="s">
        <v>0</v>
      </c>
      <c r="H5" s="2" t="str">
        <f>IF('入力シート'!$E$7&lt;&gt;"",'入力シート'!$E$7,"")</f>
        <v>i-①　○○倉庫（東京都港区）－○△倉庫（横浜市）</v>
      </c>
      <c r="I5" s="2"/>
      <c r="J5" s="7"/>
      <c r="K5" s="8"/>
      <c r="L5" s="3"/>
      <c r="M5" s="7"/>
      <c r="N5" s="8"/>
      <c r="O5" s="3"/>
      <c r="P5" s="7"/>
      <c r="Q5" s="7"/>
      <c r="R5" s="7"/>
      <c r="S5" s="7"/>
      <c r="T5" s="8"/>
      <c r="U5" s="9"/>
      <c r="V5" s="8"/>
      <c r="W5" s="9"/>
      <c r="Y5" s="10"/>
      <c r="Z5" s="10"/>
      <c r="AA5" s="163"/>
      <c r="AB5" s="10"/>
      <c r="AC5" s="12"/>
    </row>
    <row r="6" spans="1:29" ht="15" customHeight="1" thickBot="1">
      <c r="A6" s="178" t="s">
        <v>209</v>
      </c>
      <c r="B6" s="178" t="s">
        <v>5</v>
      </c>
      <c r="C6" s="179" t="s">
        <v>210</v>
      </c>
      <c r="E6" s="152"/>
      <c r="F6" s="2"/>
      <c r="I6" s="2"/>
      <c r="J6" s="14" t="s">
        <v>4</v>
      </c>
      <c r="K6" s="8"/>
      <c r="L6" s="3"/>
      <c r="M6" s="14" t="s">
        <v>5</v>
      </c>
      <c r="N6" s="8"/>
      <c r="O6" s="56" t="s">
        <v>141</v>
      </c>
      <c r="Q6" s="14"/>
      <c r="R6" s="154"/>
      <c r="S6" s="154" t="s">
        <v>171</v>
      </c>
      <c r="T6" s="8"/>
      <c r="U6" s="9"/>
      <c r="V6" s="8"/>
      <c r="W6" s="9"/>
      <c r="X6" s="14" t="s">
        <v>6</v>
      </c>
      <c r="Y6" s="10"/>
      <c r="Z6" s="10"/>
      <c r="AA6" s="163"/>
      <c r="AB6" s="10"/>
      <c r="AC6" s="12"/>
    </row>
    <row r="7" spans="1:29" ht="15" customHeight="1" thickBot="1" thickTop="1">
      <c r="A7">
        <f>'入力シート'!$H$15</f>
        <v>30</v>
      </c>
      <c r="B7">
        <f>'入力シート'!$H$17</f>
        <v>2665.4</v>
      </c>
      <c r="C7" t="str">
        <f>'入力シート'!$H$23</f>
        <v>軽油</v>
      </c>
      <c r="D7">
        <f>IF(ISERROR(A7*B7),0,A7*B7)</f>
        <v>79962</v>
      </c>
      <c r="E7" s="183">
        <f>X7</f>
        <v>11.538232306558006</v>
      </c>
      <c r="F7" s="15"/>
      <c r="G7" s="15"/>
      <c r="H7" s="15"/>
      <c r="I7" s="50">
        <v>3</v>
      </c>
      <c r="J7" s="162">
        <f>A7</f>
        <v>30</v>
      </c>
      <c r="K7" s="4" t="s">
        <v>7</v>
      </c>
      <c r="L7" s="52">
        <v>4</v>
      </c>
      <c r="M7" s="162">
        <f>B7</f>
        <v>2665.4</v>
      </c>
      <c r="N7" s="4" t="s">
        <v>7</v>
      </c>
      <c r="O7" s="50">
        <v>10</v>
      </c>
      <c r="P7" s="160">
        <f>C9</f>
        <v>0.05509081923422535</v>
      </c>
      <c r="Q7" s="4" t="s">
        <v>7</v>
      </c>
      <c r="R7" s="50"/>
      <c r="S7" s="156">
        <f>IF(ISERROR(VLOOKUP(C7,'係数関連'!$C$3:$P$11,13,FALSE)),"",VLOOKUP(C7,'係数関連'!$C$3:$P$11,13,FALSE))</f>
        <v>2.6192466666666663</v>
      </c>
      <c r="T7" s="53" t="s">
        <v>173</v>
      </c>
      <c r="U7" s="73" t="s">
        <v>174</v>
      </c>
      <c r="V7" s="53" t="s">
        <v>8</v>
      </c>
      <c r="W7" s="54">
        <v>31</v>
      </c>
      <c r="X7" s="55">
        <f>IF(ISERROR(J7*M7*P7*S7/1000),0,J7*M7*P7*S7/1000)</f>
        <v>11.538232306558006</v>
      </c>
      <c r="Y7" s="16"/>
      <c r="Z7" s="56"/>
      <c r="AA7" s="163"/>
      <c r="AB7" s="19"/>
      <c r="AC7" s="17"/>
    </row>
    <row r="8" spans="1:29" ht="15" customHeight="1" thickTop="1">
      <c r="A8" s="178" t="str">
        <f>'入力シート'!$F$24</f>
        <v>最大積載量（kg）</v>
      </c>
      <c r="B8" s="178" t="str">
        <f>'入力シート'!$F$25</f>
        <v>積載率(%)</v>
      </c>
      <c r="C8" s="178" t="str">
        <f>'入力シート'!$F$26</f>
        <v>燃料使用原単位</v>
      </c>
      <c r="F8" s="20"/>
      <c r="G8" s="20"/>
      <c r="H8" s="20"/>
      <c r="I8" s="20"/>
      <c r="J8" s="170" t="s">
        <v>175</v>
      </c>
      <c r="K8" s="22"/>
      <c r="L8" s="23"/>
      <c r="M8" s="171" t="s">
        <v>178</v>
      </c>
      <c r="N8" s="22"/>
      <c r="O8" s="23"/>
      <c r="P8" s="169" t="s">
        <v>142</v>
      </c>
      <c r="Q8" s="70"/>
      <c r="R8" s="70"/>
      <c r="S8" s="169" t="s">
        <v>177</v>
      </c>
      <c r="T8" s="22"/>
      <c r="U8" s="58"/>
      <c r="V8" s="22"/>
      <c r="W8" s="58"/>
      <c r="X8" s="169" t="s">
        <v>18</v>
      </c>
      <c r="Y8" s="25"/>
      <c r="Z8" s="25"/>
      <c r="AA8" s="26"/>
      <c r="AB8" s="25"/>
      <c r="AC8" s="24"/>
    </row>
    <row r="9" spans="1:29" ht="15" customHeight="1">
      <c r="A9">
        <f>'入力シート'!$H$24</f>
        <v>10000</v>
      </c>
      <c r="B9" s="221">
        <f>'入力シート'!$H$25</f>
        <v>0.6</v>
      </c>
      <c r="C9">
        <f>'入力シート'!$H$29</f>
        <v>0.05509081923422535</v>
      </c>
      <c r="F9" s="20"/>
      <c r="G9" s="20"/>
      <c r="H9" s="20"/>
      <c r="I9" s="20"/>
      <c r="J9" s="170"/>
      <c r="K9" s="22"/>
      <c r="L9" s="23"/>
      <c r="M9" s="171"/>
      <c r="N9" s="22"/>
      <c r="O9" s="23"/>
      <c r="P9" s="169"/>
      <c r="Q9" s="70"/>
      <c r="R9" s="70"/>
      <c r="S9" s="169"/>
      <c r="T9" s="22"/>
      <c r="U9" s="58"/>
      <c r="V9" s="22"/>
      <c r="W9" s="58"/>
      <c r="X9" s="169"/>
      <c r="Y9" s="25"/>
      <c r="Z9" s="25"/>
      <c r="AA9" s="26"/>
      <c r="AB9" s="25"/>
      <c r="AC9" s="24"/>
    </row>
    <row r="10" spans="3:29" ht="16.5" customHeight="1">
      <c r="C10" s="41" t="s">
        <v>352</v>
      </c>
      <c r="F10" s="2"/>
      <c r="G10" s="13" t="s">
        <v>0</v>
      </c>
      <c r="H10" s="2" t="str">
        <f>IF('入力シート'!$E$32&lt;&gt;"",'入力シート'!$E$32,"")</f>
        <v>i-②　○△倉庫（東京都港区）－■△産業㈱（横浜市）</v>
      </c>
      <c r="I10" s="2"/>
      <c r="J10" s="7"/>
      <c r="K10" s="8"/>
      <c r="L10" s="3"/>
      <c r="M10" s="7"/>
      <c r="N10" s="8"/>
      <c r="O10" s="3"/>
      <c r="P10" s="7"/>
      <c r="Q10" s="7"/>
      <c r="R10" s="7"/>
      <c r="S10" s="7"/>
      <c r="T10" s="8"/>
      <c r="U10" s="9"/>
      <c r="V10" s="8"/>
      <c r="W10" s="9"/>
      <c r="Y10" s="10"/>
      <c r="Z10" s="10"/>
      <c r="AA10" s="163"/>
      <c r="AB10" s="10"/>
      <c r="AC10" s="12"/>
    </row>
    <row r="11" spans="1:29" ht="15" customHeight="1" thickBot="1">
      <c r="A11" s="178" t="s">
        <v>209</v>
      </c>
      <c r="B11" s="178" t="s">
        <v>5</v>
      </c>
      <c r="C11" s="179" t="s">
        <v>210</v>
      </c>
      <c r="E11" s="152"/>
      <c r="F11" s="2"/>
      <c r="I11" s="2"/>
      <c r="J11" s="14" t="s">
        <v>4</v>
      </c>
      <c r="K11" s="8"/>
      <c r="L11" s="3"/>
      <c r="M11" s="14" t="s">
        <v>5</v>
      </c>
      <c r="N11" s="8"/>
      <c r="O11" s="56" t="s">
        <v>141</v>
      </c>
      <c r="Q11" s="14"/>
      <c r="R11" s="154"/>
      <c r="S11" s="154" t="s">
        <v>171</v>
      </c>
      <c r="T11" s="8"/>
      <c r="U11" s="9"/>
      <c r="V11" s="8"/>
      <c r="W11" s="9"/>
      <c r="X11" s="14" t="s">
        <v>6</v>
      </c>
      <c r="Y11" s="10"/>
      <c r="Z11" s="10"/>
      <c r="AA11" s="163"/>
      <c r="AB11" s="10"/>
      <c r="AC11" s="12"/>
    </row>
    <row r="12" spans="1:29" ht="15" customHeight="1" thickBot="1" thickTop="1">
      <c r="A12">
        <f>'入力シート'!$H$40</f>
        <v>30</v>
      </c>
      <c r="B12">
        <f>'入力シート'!$H$42</f>
        <v>1407.2</v>
      </c>
      <c r="C12" t="str">
        <f>'入力シート'!$H$48</f>
        <v>軽油</v>
      </c>
      <c r="D12">
        <f>IF(ISERROR(A12*B12),0,A12*B12)</f>
        <v>42216</v>
      </c>
      <c r="E12" s="183">
        <f>X12</f>
        <v>6.091618707056513</v>
      </c>
      <c r="F12" s="15"/>
      <c r="G12" s="15"/>
      <c r="H12" s="15"/>
      <c r="I12" s="50">
        <v>3</v>
      </c>
      <c r="J12" s="162">
        <f>A12</f>
        <v>30</v>
      </c>
      <c r="K12" s="4" t="s">
        <v>7</v>
      </c>
      <c r="L12" s="52">
        <v>4</v>
      </c>
      <c r="M12" s="162">
        <f>B12</f>
        <v>1407.2</v>
      </c>
      <c r="N12" s="4" t="s">
        <v>7</v>
      </c>
      <c r="O12" s="50">
        <v>10</v>
      </c>
      <c r="P12" s="160">
        <f>C14</f>
        <v>0.05509081923422535</v>
      </c>
      <c r="Q12" s="4" t="s">
        <v>7</v>
      </c>
      <c r="R12" s="50"/>
      <c r="S12" s="156">
        <f>IF(ISERROR(VLOOKUP(C12,'係数関連'!$C$3:$P$11,13,FALSE)),"",VLOOKUP(C12,'係数関連'!$C$3:$P$11,13,FALSE))</f>
        <v>2.6192466666666663</v>
      </c>
      <c r="T12" s="53" t="s">
        <v>173</v>
      </c>
      <c r="U12" s="73" t="s">
        <v>174</v>
      </c>
      <c r="V12" s="53" t="s">
        <v>8</v>
      </c>
      <c r="W12" s="54">
        <v>31</v>
      </c>
      <c r="X12" s="55">
        <f>IF(ISERROR(J12*M12*P12*S12/1000),0,J12*M12*P12*S12/1000)</f>
        <v>6.091618707056513</v>
      </c>
      <c r="Y12" s="16"/>
      <c r="Z12" s="56"/>
      <c r="AA12" s="163"/>
      <c r="AB12" s="19"/>
      <c r="AC12" s="17"/>
    </row>
    <row r="13" spans="1:29" ht="15" customHeight="1" thickTop="1">
      <c r="A13" s="178" t="str">
        <f>'入力シート'!$F$49</f>
        <v>最大積載量（kg）</v>
      </c>
      <c r="B13" s="178" t="str">
        <f>'入力シート'!$F$50</f>
        <v>積載率(%)</v>
      </c>
      <c r="C13" s="178" t="str">
        <f>'入力シート'!$F$51</f>
        <v>燃料使用原単位</v>
      </c>
      <c r="F13" s="20"/>
      <c r="G13" s="20"/>
      <c r="H13" s="20"/>
      <c r="I13" s="20"/>
      <c r="J13" s="170" t="s">
        <v>175</v>
      </c>
      <c r="K13" s="22"/>
      <c r="L13" s="23"/>
      <c r="M13" s="171" t="s">
        <v>178</v>
      </c>
      <c r="N13" s="22"/>
      <c r="O13" s="23"/>
      <c r="P13" s="169" t="s">
        <v>142</v>
      </c>
      <c r="Q13" s="70"/>
      <c r="R13" s="70"/>
      <c r="S13" s="169" t="s">
        <v>177</v>
      </c>
      <c r="T13" s="22"/>
      <c r="U13" s="58"/>
      <c r="V13" s="22"/>
      <c r="W13" s="58"/>
      <c r="X13" s="169" t="s">
        <v>18</v>
      </c>
      <c r="Y13" s="25"/>
      <c r="Z13" s="25"/>
      <c r="AA13" s="26"/>
      <c r="AB13" s="25"/>
      <c r="AC13" s="24"/>
    </row>
    <row r="14" spans="1:29" ht="15" customHeight="1">
      <c r="A14">
        <f>'入力シート'!$H$49</f>
        <v>10000</v>
      </c>
      <c r="B14" s="221">
        <f>'入力シート'!$H$50</f>
        <v>0.6</v>
      </c>
      <c r="C14">
        <f>'入力シート'!$H$54</f>
        <v>0.05509081923422535</v>
      </c>
      <c r="F14" s="20"/>
      <c r="G14" s="20"/>
      <c r="H14" s="20"/>
      <c r="I14" s="20"/>
      <c r="J14" s="170"/>
      <c r="K14" s="22"/>
      <c r="L14" s="23"/>
      <c r="M14" s="171"/>
      <c r="N14" s="22"/>
      <c r="O14" s="23"/>
      <c r="P14" s="169"/>
      <c r="Q14" s="70"/>
      <c r="R14" s="70"/>
      <c r="S14" s="169"/>
      <c r="T14" s="22"/>
      <c r="U14" s="58"/>
      <c r="V14" s="22"/>
      <c r="W14" s="58"/>
      <c r="X14" s="169"/>
      <c r="Y14" s="25"/>
      <c r="Z14" s="25"/>
      <c r="AA14" s="26"/>
      <c r="AB14" s="25"/>
      <c r="AC14" s="24"/>
    </row>
    <row r="15" spans="3:29" ht="16.5" customHeight="1">
      <c r="C15" s="41" t="s">
        <v>352</v>
      </c>
      <c r="F15" s="2"/>
      <c r="G15" s="13" t="s">
        <v>0</v>
      </c>
      <c r="H15" s="2" t="str">
        <f>IF('入力シート'!$E$57&lt;&gt;"",'入力シート'!$E$57,"")</f>
        <v>i-③　○△倉庫（東京都港区）－■○物流センター（横浜市）</v>
      </c>
      <c r="I15" s="2"/>
      <c r="J15" s="7"/>
      <c r="K15" s="8"/>
      <c r="L15" s="3"/>
      <c r="M15" s="7"/>
      <c r="N15" s="8"/>
      <c r="O15" s="3"/>
      <c r="P15" s="7"/>
      <c r="Q15" s="7"/>
      <c r="R15" s="7"/>
      <c r="S15" s="7"/>
      <c r="T15" s="8"/>
      <c r="U15" s="9"/>
      <c r="V15" s="8"/>
      <c r="W15" s="9"/>
      <c r="Y15" s="10"/>
      <c r="Z15" s="10"/>
      <c r="AA15" s="163"/>
      <c r="AB15" s="10"/>
      <c r="AC15" s="12"/>
    </row>
    <row r="16" spans="1:29" ht="15" customHeight="1" thickBot="1">
      <c r="A16" s="178" t="s">
        <v>209</v>
      </c>
      <c r="B16" s="178" t="s">
        <v>5</v>
      </c>
      <c r="C16" s="179" t="s">
        <v>210</v>
      </c>
      <c r="E16" s="152"/>
      <c r="F16" s="2"/>
      <c r="I16" s="2"/>
      <c r="J16" s="14" t="s">
        <v>4</v>
      </c>
      <c r="K16" s="8"/>
      <c r="L16" s="3"/>
      <c r="M16" s="14" t="s">
        <v>5</v>
      </c>
      <c r="N16" s="8"/>
      <c r="O16" s="56" t="s">
        <v>141</v>
      </c>
      <c r="Q16" s="14"/>
      <c r="R16" s="154"/>
      <c r="S16" s="154" t="s">
        <v>171</v>
      </c>
      <c r="T16" s="8"/>
      <c r="U16" s="9"/>
      <c r="V16" s="8"/>
      <c r="W16" s="9"/>
      <c r="X16" s="14" t="s">
        <v>6</v>
      </c>
      <c r="Y16" s="10"/>
      <c r="Z16" s="10"/>
      <c r="AA16" s="163"/>
      <c r="AB16" s="10"/>
      <c r="AC16" s="12"/>
    </row>
    <row r="17" spans="1:29" ht="15" customHeight="1" thickBot="1" thickTop="1">
      <c r="A17">
        <f>'入力シート'!$H$65</f>
        <v>30</v>
      </c>
      <c r="B17">
        <f>'入力シート'!$H$67</f>
        <v>2376</v>
      </c>
      <c r="C17" t="str">
        <f>'入力シート'!$H$73</f>
        <v>軽油</v>
      </c>
      <c r="D17">
        <f>IF(ISERROR(A17*B17),0,A17*B17)</f>
        <v>71280</v>
      </c>
      <c r="E17" s="183">
        <f>X17</f>
        <v>10.285450574165914</v>
      </c>
      <c r="F17" s="15"/>
      <c r="G17" s="15"/>
      <c r="H17" s="15"/>
      <c r="I17" s="50">
        <v>3</v>
      </c>
      <c r="J17" s="162">
        <f>A17</f>
        <v>30</v>
      </c>
      <c r="K17" s="4" t="s">
        <v>7</v>
      </c>
      <c r="L17" s="52">
        <v>4</v>
      </c>
      <c r="M17" s="162">
        <f>B17</f>
        <v>2376</v>
      </c>
      <c r="N17" s="4" t="s">
        <v>7</v>
      </c>
      <c r="O17" s="50">
        <v>10</v>
      </c>
      <c r="P17" s="160">
        <f>C19</f>
        <v>0.05509081923422535</v>
      </c>
      <c r="Q17" s="4" t="s">
        <v>7</v>
      </c>
      <c r="R17" s="50"/>
      <c r="S17" s="156">
        <f>IF(ISERROR(VLOOKUP(C17,'係数関連'!$C$3:$P$11,13,FALSE)),"",VLOOKUP(C17,'係数関連'!$C$3:$P$11,13,FALSE))</f>
        <v>2.6192466666666663</v>
      </c>
      <c r="T17" s="53" t="s">
        <v>173</v>
      </c>
      <c r="U17" s="73" t="s">
        <v>174</v>
      </c>
      <c r="V17" s="53" t="s">
        <v>8</v>
      </c>
      <c r="W17" s="54">
        <v>31</v>
      </c>
      <c r="X17" s="55">
        <f>IF(ISERROR(J17*M17*P17*S17/1000),0,J17*M17*P17*S17/1000)</f>
        <v>10.285450574165914</v>
      </c>
      <c r="Y17" s="16"/>
      <c r="Z17" s="56"/>
      <c r="AA17" s="163"/>
      <c r="AB17" s="19"/>
      <c r="AC17" s="17"/>
    </row>
    <row r="18" spans="1:29" ht="15" customHeight="1" thickTop="1">
      <c r="A18" s="178" t="str">
        <f>'入力シート'!$F$74</f>
        <v>最大積載量（kg）</v>
      </c>
      <c r="B18" s="178" t="str">
        <f>'入力シート'!$F$75</f>
        <v>積載率(%)</v>
      </c>
      <c r="C18" s="178" t="str">
        <f>'入力シート'!$F$76</f>
        <v>燃料使用原単位</v>
      </c>
      <c r="F18" s="20"/>
      <c r="G18" s="20"/>
      <c r="H18" s="20"/>
      <c r="I18" s="20"/>
      <c r="J18" s="170" t="s">
        <v>175</v>
      </c>
      <c r="K18" s="22"/>
      <c r="L18" s="23"/>
      <c r="M18" s="171" t="s">
        <v>178</v>
      </c>
      <c r="N18" s="22"/>
      <c r="O18" s="23"/>
      <c r="P18" s="169" t="s">
        <v>142</v>
      </c>
      <c r="Q18" s="70"/>
      <c r="R18" s="70"/>
      <c r="S18" s="169" t="s">
        <v>177</v>
      </c>
      <c r="T18" s="22"/>
      <c r="U18" s="58"/>
      <c r="V18" s="22"/>
      <c r="W18" s="58"/>
      <c r="X18" s="169" t="s">
        <v>18</v>
      </c>
      <c r="Y18" s="25"/>
      <c r="Z18" s="25"/>
      <c r="AA18" s="26"/>
      <c r="AB18" s="25"/>
      <c r="AC18" s="24"/>
    </row>
    <row r="19" spans="1:29" ht="15" customHeight="1">
      <c r="A19">
        <f>'入力シート'!$H$74</f>
        <v>10000</v>
      </c>
      <c r="B19" s="221">
        <f>'入力シート'!$H$75</f>
        <v>0.6</v>
      </c>
      <c r="C19">
        <f>'入力シート'!$H$79</f>
        <v>0.05509081923422535</v>
      </c>
      <c r="F19" s="20"/>
      <c r="G19" s="20"/>
      <c r="H19" s="20"/>
      <c r="I19" s="20"/>
      <c r="J19" s="170"/>
      <c r="K19" s="22"/>
      <c r="L19" s="23"/>
      <c r="M19" s="171"/>
      <c r="N19" s="22"/>
      <c r="O19" s="23"/>
      <c r="P19" s="169"/>
      <c r="Q19" s="70"/>
      <c r="R19" s="70"/>
      <c r="S19" s="169"/>
      <c r="T19" s="22"/>
      <c r="U19" s="58"/>
      <c r="V19" s="22"/>
      <c r="W19" s="58"/>
      <c r="X19" s="169"/>
      <c r="Y19" s="25"/>
      <c r="Z19" s="25"/>
      <c r="AA19" s="26"/>
      <c r="AB19" s="25"/>
      <c r="AC19" s="24"/>
    </row>
    <row r="20" spans="3:29" ht="16.5" customHeight="1">
      <c r="C20" s="41" t="s">
        <v>352</v>
      </c>
      <c r="F20" s="2"/>
      <c r="G20" s="13" t="s">
        <v>0</v>
      </c>
      <c r="H20" s="2" t="str">
        <f>IF('入力シート'!$E$82&lt;&gt;"",'入力シート'!$E$82,"")</f>
        <v>i-④　○△倉庫（東京都港区）－◎◎㈱横浜支店（横浜市）</v>
      </c>
      <c r="I20" s="2"/>
      <c r="J20" s="7"/>
      <c r="K20" s="8"/>
      <c r="L20" s="3"/>
      <c r="M20" s="7"/>
      <c r="N20" s="8"/>
      <c r="O20" s="3"/>
      <c r="P20" s="7"/>
      <c r="Q20" s="7"/>
      <c r="R20" s="7"/>
      <c r="S20" s="7"/>
      <c r="T20" s="8"/>
      <c r="U20" s="9"/>
      <c r="V20" s="8"/>
      <c r="W20" s="9"/>
      <c r="Y20" s="10"/>
      <c r="Z20" s="10"/>
      <c r="AA20" s="163"/>
      <c r="AB20" s="10"/>
      <c r="AC20" s="12"/>
    </row>
    <row r="21" spans="1:29" ht="15" customHeight="1" thickBot="1">
      <c r="A21" s="178" t="s">
        <v>209</v>
      </c>
      <c r="B21" s="178" t="s">
        <v>5</v>
      </c>
      <c r="C21" s="179" t="s">
        <v>210</v>
      </c>
      <c r="E21" s="152"/>
      <c r="F21" s="2"/>
      <c r="I21" s="2"/>
      <c r="J21" s="14" t="s">
        <v>4</v>
      </c>
      <c r="K21" s="8"/>
      <c r="L21" s="3"/>
      <c r="M21" s="14" t="s">
        <v>5</v>
      </c>
      <c r="N21" s="8"/>
      <c r="O21" s="56" t="s">
        <v>141</v>
      </c>
      <c r="Q21" s="14"/>
      <c r="R21" s="154"/>
      <c r="S21" s="154" t="s">
        <v>171</v>
      </c>
      <c r="T21" s="8"/>
      <c r="U21" s="9"/>
      <c r="V21" s="8"/>
      <c r="W21" s="9"/>
      <c r="X21" s="14" t="s">
        <v>6</v>
      </c>
      <c r="Y21" s="10"/>
      <c r="Z21" s="10"/>
      <c r="AA21" s="163"/>
      <c r="AB21" s="10"/>
      <c r="AC21" s="12"/>
    </row>
    <row r="22" spans="1:29" ht="15" customHeight="1" thickBot="1" thickTop="1">
      <c r="A22">
        <f>'入力シート'!$H$90</f>
        <v>30</v>
      </c>
      <c r="B22">
        <f>'入力シート'!$H$92</f>
        <v>1542.2</v>
      </c>
      <c r="C22" t="str">
        <f>'入力シート'!$H$98</f>
        <v>軽油</v>
      </c>
      <c r="D22">
        <f>IF(ISERROR(A22*B22),0,A22*B22)</f>
        <v>46266</v>
      </c>
      <c r="E22" s="183">
        <f>X22</f>
        <v>6.676019307861393</v>
      </c>
      <c r="F22" s="15"/>
      <c r="G22" s="15"/>
      <c r="H22" s="15"/>
      <c r="I22" s="50">
        <v>3</v>
      </c>
      <c r="J22" s="162">
        <f>A22</f>
        <v>30</v>
      </c>
      <c r="K22" s="4" t="s">
        <v>7</v>
      </c>
      <c r="L22" s="52">
        <v>4</v>
      </c>
      <c r="M22" s="162">
        <f>B22</f>
        <v>1542.2</v>
      </c>
      <c r="N22" s="4" t="s">
        <v>7</v>
      </c>
      <c r="O22" s="50">
        <v>10</v>
      </c>
      <c r="P22" s="160">
        <f>C24</f>
        <v>0.05509081923422535</v>
      </c>
      <c r="Q22" s="4" t="s">
        <v>7</v>
      </c>
      <c r="R22" s="50"/>
      <c r="S22" s="156">
        <f>IF(ISERROR(VLOOKUP(C22,'係数関連'!$C$3:$P$11,13,FALSE)),"",VLOOKUP(C22,'係数関連'!$C$3:$P$11,13,FALSE))</f>
        <v>2.6192466666666663</v>
      </c>
      <c r="T22" s="53" t="s">
        <v>173</v>
      </c>
      <c r="U22" s="73" t="s">
        <v>174</v>
      </c>
      <c r="V22" s="53" t="s">
        <v>8</v>
      </c>
      <c r="W22" s="54">
        <v>31</v>
      </c>
      <c r="X22" s="55">
        <f>IF(ISERROR(J22*M22*P22*S22/1000),0,J22*M22*P22*S22/1000)</f>
        <v>6.676019307861393</v>
      </c>
      <c r="Y22" s="16"/>
      <c r="Z22" s="56"/>
      <c r="AA22" s="163"/>
      <c r="AB22" s="19"/>
      <c r="AC22" s="17"/>
    </row>
    <row r="23" spans="1:29" ht="15" customHeight="1" thickTop="1">
      <c r="A23" s="178" t="str">
        <f>'入力シート'!$F$99</f>
        <v>最大積載量（kg）</v>
      </c>
      <c r="B23" s="178" t="str">
        <f>'入力シート'!$F$100</f>
        <v>積載率(%)</v>
      </c>
      <c r="C23" s="178" t="str">
        <f>'入力シート'!$F$101</f>
        <v>燃料使用原単位</v>
      </c>
      <c r="F23" s="20"/>
      <c r="G23" s="20"/>
      <c r="H23" s="20"/>
      <c r="I23" s="20"/>
      <c r="J23" s="170" t="s">
        <v>175</v>
      </c>
      <c r="K23" s="22"/>
      <c r="L23" s="23"/>
      <c r="M23" s="171" t="s">
        <v>178</v>
      </c>
      <c r="N23" s="22"/>
      <c r="O23" s="23"/>
      <c r="P23" s="169" t="s">
        <v>142</v>
      </c>
      <c r="Q23" s="70"/>
      <c r="R23" s="70"/>
      <c r="S23" s="169" t="s">
        <v>177</v>
      </c>
      <c r="T23" s="22"/>
      <c r="U23" s="58"/>
      <c r="V23" s="22"/>
      <c r="W23" s="58"/>
      <c r="X23" s="169" t="s">
        <v>18</v>
      </c>
      <c r="Y23" s="25"/>
      <c r="Z23" s="25"/>
      <c r="AA23" s="26"/>
      <c r="AB23" s="25"/>
      <c r="AC23" s="24"/>
    </row>
    <row r="24" spans="1:29" ht="15" customHeight="1">
      <c r="A24">
        <f>'入力シート'!$H$99</f>
        <v>10000</v>
      </c>
      <c r="B24" s="221">
        <f>'入力シート'!$H$100</f>
        <v>0.6</v>
      </c>
      <c r="C24">
        <f>'入力シート'!$H$104</f>
        <v>0.05509081923422535</v>
      </c>
      <c r="F24" s="20"/>
      <c r="G24" s="20"/>
      <c r="H24" s="20"/>
      <c r="I24" s="20"/>
      <c r="J24" s="170"/>
      <c r="K24" s="22"/>
      <c r="L24" s="23"/>
      <c r="M24" s="171"/>
      <c r="N24" s="22"/>
      <c r="O24" s="23"/>
      <c r="P24" s="169"/>
      <c r="Q24" s="70"/>
      <c r="R24" s="70"/>
      <c r="S24" s="169"/>
      <c r="T24" s="22"/>
      <c r="U24" s="58"/>
      <c r="V24" s="22"/>
      <c r="W24" s="58"/>
      <c r="X24" s="169"/>
      <c r="Y24" s="25"/>
      <c r="Z24" s="25"/>
      <c r="AA24" s="26"/>
      <c r="AB24" s="25"/>
      <c r="AC24" s="24"/>
    </row>
    <row r="25" spans="3:29" ht="16.5" customHeight="1">
      <c r="C25" s="41" t="s">
        <v>352</v>
      </c>
      <c r="F25" s="2"/>
      <c r="G25" s="13" t="s">
        <v>0</v>
      </c>
      <c r="H25" s="2" t="str">
        <f>IF('入力シート'!$E$107&lt;&gt;"",'入力シート'!$E$107,"")</f>
        <v>ii-①　☆■倉庫（東京都港区）－○△倉庫（横浜市）</v>
      </c>
      <c r="I25" s="2"/>
      <c r="J25" s="7"/>
      <c r="K25" s="8"/>
      <c r="L25" s="3"/>
      <c r="M25" s="7"/>
      <c r="N25" s="8"/>
      <c r="O25" s="3"/>
      <c r="P25" s="7"/>
      <c r="Q25" s="7"/>
      <c r="R25" s="7"/>
      <c r="S25" s="7"/>
      <c r="T25" s="8"/>
      <c r="U25" s="9"/>
      <c r="V25" s="8"/>
      <c r="W25" s="9"/>
      <c r="Y25" s="10"/>
      <c r="Z25" s="10"/>
      <c r="AA25" s="163"/>
      <c r="AB25" s="10"/>
      <c r="AC25" s="12"/>
    </row>
    <row r="26" spans="1:29" ht="15" customHeight="1" thickBot="1">
      <c r="A26" s="178" t="s">
        <v>209</v>
      </c>
      <c r="B26" s="178" t="s">
        <v>5</v>
      </c>
      <c r="C26" s="179" t="s">
        <v>210</v>
      </c>
      <c r="E26" s="152"/>
      <c r="F26" s="2"/>
      <c r="I26" s="2"/>
      <c r="J26" s="14" t="s">
        <v>4</v>
      </c>
      <c r="K26" s="8"/>
      <c r="L26" s="3"/>
      <c r="M26" s="14" t="s">
        <v>5</v>
      </c>
      <c r="N26" s="8"/>
      <c r="O26" s="56" t="s">
        <v>141</v>
      </c>
      <c r="Q26" s="14"/>
      <c r="R26" s="154"/>
      <c r="S26" s="154" t="s">
        <v>171</v>
      </c>
      <c r="T26" s="8"/>
      <c r="U26" s="9"/>
      <c r="V26" s="8"/>
      <c r="W26" s="9"/>
      <c r="X26" s="14" t="s">
        <v>6</v>
      </c>
      <c r="Y26" s="10"/>
      <c r="Z26" s="10"/>
      <c r="AA26" s="163"/>
      <c r="AB26" s="10"/>
      <c r="AC26" s="12"/>
    </row>
    <row r="27" spans="1:29" ht="15" customHeight="1" thickBot="1" thickTop="1">
      <c r="A27">
        <f>'入力シート'!$H$115</f>
        <v>30</v>
      </c>
      <c r="B27">
        <f>'入力シート'!$H$117</f>
        <v>214.9</v>
      </c>
      <c r="C27" t="str">
        <f>'入力シート'!$H$123</f>
        <v>軽油</v>
      </c>
      <c r="D27">
        <f>IF(ISERROR(A27*B27),0,A27*B27)</f>
        <v>6447</v>
      </c>
      <c r="E27" s="183">
        <f>X27</f>
        <v>2.3542477756979503</v>
      </c>
      <c r="F27" s="15"/>
      <c r="G27" s="15"/>
      <c r="H27" s="15"/>
      <c r="I27" s="50">
        <v>3</v>
      </c>
      <c r="J27" s="162">
        <f>A27</f>
        <v>30</v>
      </c>
      <c r="K27" s="4" t="s">
        <v>7</v>
      </c>
      <c r="L27" s="52">
        <v>4</v>
      </c>
      <c r="M27" s="162">
        <f>B27</f>
        <v>214.9</v>
      </c>
      <c r="N27" s="4" t="s">
        <v>7</v>
      </c>
      <c r="O27" s="50">
        <v>10</v>
      </c>
      <c r="P27" s="160">
        <f>C29</f>
        <v>0.1394177593404856</v>
      </c>
      <c r="Q27" s="4" t="s">
        <v>7</v>
      </c>
      <c r="R27" s="50"/>
      <c r="S27" s="156">
        <f>IF(ISERROR(VLOOKUP(C27,'係数関連'!$C$3:$P$11,13,FALSE)),"",VLOOKUP(C27,'係数関連'!$C$3:$P$11,13,FALSE))</f>
        <v>2.6192466666666663</v>
      </c>
      <c r="T27" s="53" t="s">
        <v>173</v>
      </c>
      <c r="U27" s="73" t="s">
        <v>174</v>
      </c>
      <c r="V27" s="53" t="s">
        <v>8</v>
      </c>
      <c r="W27" s="54">
        <v>31</v>
      </c>
      <c r="X27" s="55">
        <f>IF(ISERROR(J27*M27*P27*S27/1000),0,J27*M27*P27*S27/1000)</f>
        <v>2.3542477756979503</v>
      </c>
      <c r="Y27" s="16"/>
      <c r="Z27" s="56"/>
      <c r="AA27" s="163"/>
      <c r="AB27" s="19"/>
      <c r="AC27" s="17"/>
    </row>
    <row r="28" spans="1:29" ht="15" customHeight="1" thickTop="1">
      <c r="A28" s="178" t="str">
        <f>'入力シート'!$F$124</f>
        <v>最大積載量（kg）</v>
      </c>
      <c r="B28" s="178" t="str">
        <f>'入力シート'!$F$125</f>
        <v>積載率(%)</v>
      </c>
      <c r="C28" s="178" t="str">
        <f>'入力シート'!$F$126</f>
        <v>燃料使用原単位</v>
      </c>
      <c r="F28" s="20"/>
      <c r="G28" s="20"/>
      <c r="H28" s="20"/>
      <c r="I28" s="20"/>
      <c r="J28" s="170" t="s">
        <v>175</v>
      </c>
      <c r="K28" s="22"/>
      <c r="L28" s="23"/>
      <c r="M28" s="171" t="s">
        <v>178</v>
      </c>
      <c r="N28" s="22"/>
      <c r="O28" s="23"/>
      <c r="P28" s="169" t="s">
        <v>142</v>
      </c>
      <c r="Q28" s="70"/>
      <c r="R28" s="70"/>
      <c r="S28" s="169" t="s">
        <v>177</v>
      </c>
      <c r="T28" s="22"/>
      <c r="U28" s="58"/>
      <c r="V28" s="22"/>
      <c r="W28" s="58"/>
      <c r="X28" s="169" t="s">
        <v>18</v>
      </c>
      <c r="Y28" s="25"/>
      <c r="Z28" s="25"/>
      <c r="AA28" s="26"/>
      <c r="AB28" s="25"/>
      <c r="AC28" s="24"/>
    </row>
    <row r="29" spans="1:29" ht="15" customHeight="1">
      <c r="A29">
        <f>'入力シート'!$H$124</f>
        <v>4000</v>
      </c>
      <c r="B29" s="221">
        <f>'入力シート'!$H$125</f>
        <v>0.4</v>
      </c>
      <c r="C29">
        <f>'入力シート'!$H$129</f>
        <v>0.1394177593404856</v>
      </c>
      <c r="F29" s="20"/>
      <c r="G29" s="20"/>
      <c r="H29" s="20"/>
      <c r="I29" s="20"/>
      <c r="J29" s="170"/>
      <c r="K29" s="22"/>
      <c r="L29" s="23"/>
      <c r="M29" s="171"/>
      <c r="N29" s="22"/>
      <c r="O29" s="23"/>
      <c r="P29" s="169"/>
      <c r="Q29" s="70"/>
      <c r="R29" s="70"/>
      <c r="S29" s="169"/>
      <c r="T29" s="22"/>
      <c r="U29" s="58"/>
      <c r="V29" s="22"/>
      <c r="W29" s="58"/>
      <c r="X29" s="169"/>
      <c r="Y29" s="25"/>
      <c r="Z29" s="25"/>
      <c r="AA29" s="26"/>
      <c r="AB29" s="25"/>
      <c r="AC29" s="24"/>
    </row>
    <row r="30" spans="3:29" ht="16.5" customHeight="1">
      <c r="C30" s="41" t="s">
        <v>352</v>
      </c>
      <c r="F30" s="2"/>
      <c r="G30" s="13" t="s">
        <v>0</v>
      </c>
      <c r="H30" s="2" t="str">
        <f>IF('入力シート'!$E$132&lt;&gt;"",'入力シート'!$E$132,"")</f>
        <v>ii-②　☆■倉庫（東京都港区）－■△産業㈱（横浜市）</v>
      </c>
      <c r="I30" s="2"/>
      <c r="J30" s="7"/>
      <c r="K30" s="8"/>
      <c r="L30" s="3"/>
      <c r="M30" s="7"/>
      <c r="N30" s="8"/>
      <c r="O30" s="3"/>
      <c r="P30" s="7"/>
      <c r="Q30" s="7"/>
      <c r="R30" s="7"/>
      <c r="S30" s="7"/>
      <c r="T30" s="8"/>
      <c r="U30" s="9"/>
      <c r="V30" s="8"/>
      <c r="W30" s="9"/>
      <c r="Y30" s="10"/>
      <c r="Z30" s="10"/>
      <c r="AA30" s="163"/>
      <c r="AB30" s="10"/>
      <c r="AC30" s="12"/>
    </row>
    <row r="31" spans="1:29" ht="15" customHeight="1" thickBot="1">
      <c r="A31" s="178" t="s">
        <v>209</v>
      </c>
      <c r="B31" s="178" t="s">
        <v>5</v>
      </c>
      <c r="C31" s="179" t="s">
        <v>210</v>
      </c>
      <c r="E31" s="152"/>
      <c r="F31" s="2"/>
      <c r="I31" s="2"/>
      <c r="J31" s="14" t="s">
        <v>4</v>
      </c>
      <c r="K31" s="8"/>
      <c r="L31" s="3"/>
      <c r="M31" s="14" t="s">
        <v>5</v>
      </c>
      <c r="N31" s="8"/>
      <c r="O31" s="56" t="s">
        <v>141</v>
      </c>
      <c r="Q31" s="14"/>
      <c r="R31" s="154"/>
      <c r="S31" s="154" t="s">
        <v>171</v>
      </c>
      <c r="T31" s="8"/>
      <c r="U31" s="9"/>
      <c r="V31" s="8"/>
      <c r="W31" s="9"/>
      <c r="X31" s="14" t="s">
        <v>6</v>
      </c>
      <c r="Y31" s="10"/>
      <c r="Z31" s="10"/>
      <c r="AA31" s="163"/>
      <c r="AB31" s="10"/>
      <c r="AC31" s="12"/>
    </row>
    <row r="32" spans="1:29" ht="15" customHeight="1" thickBot="1" thickTop="1">
      <c r="A32">
        <f>'入力シート'!$H$140</f>
        <v>30</v>
      </c>
      <c r="B32">
        <f>'入力シート'!$H$142</f>
        <v>253.8</v>
      </c>
      <c r="C32" t="str">
        <f>'入力シート'!$H$148</f>
        <v>軽油</v>
      </c>
      <c r="D32">
        <f>IF(ISERROR(A32*B32),0,A32*B32)</f>
        <v>7614</v>
      </c>
      <c r="E32" s="183">
        <f>X32</f>
        <v>2.780400583862912</v>
      </c>
      <c r="F32" s="15"/>
      <c r="G32" s="15"/>
      <c r="H32" s="15"/>
      <c r="I32" s="50">
        <v>3</v>
      </c>
      <c r="J32" s="162">
        <f>A32</f>
        <v>30</v>
      </c>
      <c r="K32" s="4" t="s">
        <v>7</v>
      </c>
      <c r="L32" s="52">
        <v>4</v>
      </c>
      <c r="M32" s="162">
        <f>B32</f>
        <v>253.8</v>
      </c>
      <c r="N32" s="4" t="s">
        <v>7</v>
      </c>
      <c r="O32" s="50">
        <v>10</v>
      </c>
      <c r="P32" s="160">
        <f>C34</f>
        <v>0.1394177593404856</v>
      </c>
      <c r="Q32" s="4" t="s">
        <v>7</v>
      </c>
      <c r="R32" s="50"/>
      <c r="S32" s="156">
        <f>IF(ISERROR(VLOOKUP(C32,'係数関連'!$C$3:$P$11,13,FALSE)),"",VLOOKUP(C32,'係数関連'!$C$3:$P$11,13,FALSE))</f>
        <v>2.6192466666666663</v>
      </c>
      <c r="T32" s="53" t="s">
        <v>173</v>
      </c>
      <c r="U32" s="73" t="s">
        <v>174</v>
      </c>
      <c r="V32" s="53" t="s">
        <v>8</v>
      </c>
      <c r="W32" s="54">
        <v>31</v>
      </c>
      <c r="X32" s="55">
        <f>IF(ISERROR(J32*M32*P32*S32/1000),0,J32*M32*P32*S32/1000)</f>
        <v>2.780400583862912</v>
      </c>
      <c r="Y32" s="16"/>
      <c r="Z32" s="56"/>
      <c r="AA32" s="163"/>
      <c r="AB32" s="19"/>
      <c r="AC32" s="17"/>
    </row>
    <row r="33" spans="1:29" ht="15" customHeight="1" thickTop="1">
      <c r="A33" s="178" t="str">
        <f>'入力シート'!$F$149</f>
        <v>最大積載量（kg）</v>
      </c>
      <c r="B33" s="178" t="str">
        <f>'入力シート'!$F$150</f>
        <v>積載率(%)</v>
      </c>
      <c r="C33" s="178" t="str">
        <f>'入力シート'!$F$151</f>
        <v>燃料使用原単位</v>
      </c>
      <c r="F33" s="20"/>
      <c r="G33" s="20"/>
      <c r="H33" s="20"/>
      <c r="I33" s="20"/>
      <c r="J33" s="170" t="s">
        <v>175</v>
      </c>
      <c r="K33" s="22"/>
      <c r="L33" s="23"/>
      <c r="M33" s="171" t="s">
        <v>178</v>
      </c>
      <c r="N33" s="22"/>
      <c r="O33" s="23"/>
      <c r="P33" s="169" t="s">
        <v>142</v>
      </c>
      <c r="Q33" s="70"/>
      <c r="R33" s="70"/>
      <c r="S33" s="169" t="s">
        <v>177</v>
      </c>
      <c r="T33" s="22"/>
      <c r="U33" s="58"/>
      <c r="V33" s="22"/>
      <c r="W33" s="58"/>
      <c r="X33" s="169" t="s">
        <v>18</v>
      </c>
      <c r="Y33" s="25"/>
      <c r="Z33" s="25"/>
      <c r="AA33" s="26"/>
      <c r="AB33" s="25"/>
      <c r="AC33" s="24"/>
    </row>
    <row r="34" spans="1:29" ht="15" customHeight="1">
      <c r="A34">
        <f>'入力シート'!$H$149</f>
        <v>4000</v>
      </c>
      <c r="B34" s="221">
        <f>'入力シート'!$H$150</f>
        <v>0.4</v>
      </c>
      <c r="C34">
        <f>'入力シート'!$H$154</f>
        <v>0.1394177593404856</v>
      </c>
      <c r="F34" s="20"/>
      <c r="G34" s="20"/>
      <c r="H34" s="20"/>
      <c r="I34" s="20"/>
      <c r="J34" s="170"/>
      <c r="K34" s="22"/>
      <c r="L34" s="23"/>
      <c r="M34" s="171"/>
      <c r="N34" s="22"/>
      <c r="O34" s="23"/>
      <c r="P34" s="169"/>
      <c r="Q34" s="70"/>
      <c r="R34" s="70"/>
      <c r="S34" s="169"/>
      <c r="T34" s="22"/>
      <c r="U34" s="58"/>
      <c r="V34" s="22"/>
      <c r="W34" s="58"/>
      <c r="X34" s="169"/>
      <c r="Y34" s="25"/>
      <c r="Z34" s="25"/>
      <c r="AA34" s="26"/>
      <c r="AB34" s="25"/>
      <c r="AC34" s="24"/>
    </row>
    <row r="35" spans="3:29" ht="16.5" customHeight="1">
      <c r="C35" s="41" t="s">
        <v>352</v>
      </c>
      <c r="F35" s="2"/>
      <c r="G35" s="13" t="s">
        <v>0</v>
      </c>
      <c r="H35" s="2" t="str">
        <f>IF('入力シート'!$E$157&lt;&gt;"",'入力シート'!$E$157,"")</f>
        <v>ii-③　☆■倉庫（東京都港区）－■○物流センター（横浜市）</v>
      </c>
      <c r="I35" s="2"/>
      <c r="J35" s="7"/>
      <c r="K35" s="8"/>
      <c r="L35" s="3"/>
      <c r="M35" s="7"/>
      <c r="N35" s="8"/>
      <c r="O35" s="3"/>
      <c r="P35" s="7"/>
      <c r="Q35" s="7"/>
      <c r="R35" s="7"/>
      <c r="S35" s="7"/>
      <c r="T35" s="8"/>
      <c r="U35" s="9"/>
      <c r="V35" s="8"/>
      <c r="W35" s="9"/>
      <c r="Y35" s="10"/>
      <c r="Z35" s="10"/>
      <c r="AA35" s="163"/>
      <c r="AB35" s="10"/>
      <c r="AC35" s="12"/>
    </row>
    <row r="36" spans="1:29" ht="15" customHeight="1" thickBot="1">
      <c r="A36" s="178" t="s">
        <v>209</v>
      </c>
      <c r="B36" s="178" t="s">
        <v>5</v>
      </c>
      <c r="C36" s="179" t="s">
        <v>210</v>
      </c>
      <c r="E36" s="152"/>
      <c r="F36" s="2"/>
      <c r="I36" s="2"/>
      <c r="J36" s="14" t="s">
        <v>4</v>
      </c>
      <c r="K36" s="8"/>
      <c r="L36" s="3"/>
      <c r="M36" s="14" t="s">
        <v>5</v>
      </c>
      <c r="N36" s="8"/>
      <c r="O36" s="56" t="s">
        <v>141</v>
      </c>
      <c r="Q36" s="14"/>
      <c r="R36" s="154"/>
      <c r="S36" s="154" t="s">
        <v>171</v>
      </c>
      <c r="T36" s="8"/>
      <c r="U36" s="9"/>
      <c r="V36" s="8"/>
      <c r="W36" s="9"/>
      <c r="X36" s="14" t="s">
        <v>6</v>
      </c>
      <c r="Y36" s="10"/>
      <c r="Z36" s="10"/>
      <c r="AA36" s="163"/>
      <c r="AB36" s="10"/>
      <c r="AC36" s="12"/>
    </row>
    <row r="37" spans="1:29" ht="15" customHeight="1" thickBot="1" thickTop="1">
      <c r="A37">
        <f>'入力シート'!$H$165</f>
        <v>30</v>
      </c>
      <c r="B37">
        <f>'入力シート'!$H$167</f>
        <v>491.4</v>
      </c>
      <c r="C37" t="str">
        <f>'入力シート'!$H$173</f>
        <v>軽油</v>
      </c>
      <c r="D37">
        <f>IF(ISERROR(A37*B37),0,A37*B37)</f>
        <v>14742</v>
      </c>
      <c r="E37" s="183">
        <f>X37</f>
        <v>5.383328790032447</v>
      </c>
      <c r="F37" s="15"/>
      <c r="G37" s="15"/>
      <c r="H37" s="15"/>
      <c r="I37" s="50">
        <v>3</v>
      </c>
      <c r="J37" s="162">
        <f>A37</f>
        <v>30</v>
      </c>
      <c r="K37" s="4" t="s">
        <v>7</v>
      </c>
      <c r="L37" s="52">
        <v>4</v>
      </c>
      <c r="M37" s="162">
        <f>B37</f>
        <v>491.4</v>
      </c>
      <c r="N37" s="4" t="s">
        <v>7</v>
      </c>
      <c r="O37" s="50">
        <v>10</v>
      </c>
      <c r="P37" s="160">
        <f>C39</f>
        <v>0.1394177593404856</v>
      </c>
      <c r="Q37" s="4" t="s">
        <v>7</v>
      </c>
      <c r="R37" s="50"/>
      <c r="S37" s="156">
        <f>IF(ISERROR(VLOOKUP(C37,'係数関連'!$C$3:$P$11,13,FALSE)),"",VLOOKUP(C37,'係数関連'!$C$3:$P$11,13,FALSE))</f>
        <v>2.6192466666666663</v>
      </c>
      <c r="T37" s="53" t="s">
        <v>173</v>
      </c>
      <c r="U37" s="73" t="s">
        <v>174</v>
      </c>
      <c r="V37" s="53" t="s">
        <v>8</v>
      </c>
      <c r="W37" s="54">
        <v>31</v>
      </c>
      <c r="X37" s="55">
        <f>IF(ISERROR(J37*M37*P37*S37/1000),0,J37*M37*P37*S37/1000)</f>
        <v>5.383328790032447</v>
      </c>
      <c r="Y37" s="16"/>
      <c r="Z37" s="56"/>
      <c r="AA37" s="163"/>
      <c r="AB37" s="19"/>
      <c r="AC37" s="17"/>
    </row>
    <row r="38" spans="1:29" ht="15" customHeight="1" thickTop="1">
      <c r="A38" s="178" t="str">
        <f>'入力シート'!$F$174</f>
        <v>最大積載量（kg）</v>
      </c>
      <c r="B38" s="178" t="str">
        <f>'入力シート'!$F$175</f>
        <v>積載率(%)</v>
      </c>
      <c r="C38" s="178" t="str">
        <f>'入力シート'!$F$176</f>
        <v>燃料使用原単位</v>
      </c>
      <c r="F38" s="20"/>
      <c r="G38" s="20"/>
      <c r="H38" s="20"/>
      <c r="I38" s="20"/>
      <c r="J38" s="170" t="s">
        <v>175</v>
      </c>
      <c r="K38" s="22"/>
      <c r="L38" s="23"/>
      <c r="M38" s="171" t="s">
        <v>178</v>
      </c>
      <c r="N38" s="22"/>
      <c r="O38" s="23"/>
      <c r="P38" s="169" t="s">
        <v>142</v>
      </c>
      <c r="Q38" s="70"/>
      <c r="R38" s="70"/>
      <c r="S38" s="169" t="s">
        <v>177</v>
      </c>
      <c r="T38" s="22"/>
      <c r="U38" s="58"/>
      <c r="V38" s="22"/>
      <c r="W38" s="58"/>
      <c r="X38" s="169" t="s">
        <v>18</v>
      </c>
      <c r="Y38" s="25"/>
      <c r="Z38" s="25"/>
      <c r="AA38" s="26"/>
      <c r="AB38" s="25"/>
      <c r="AC38" s="24"/>
    </row>
    <row r="39" spans="1:29" ht="15" customHeight="1">
      <c r="A39">
        <f>'入力シート'!$H$174</f>
        <v>4000</v>
      </c>
      <c r="B39" s="221">
        <f>'入力シート'!$H$175</f>
        <v>0.4</v>
      </c>
      <c r="C39">
        <f>'入力シート'!$H$179</f>
        <v>0.1394177593404856</v>
      </c>
      <c r="F39" s="20"/>
      <c r="G39" s="20"/>
      <c r="H39" s="20"/>
      <c r="I39" s="20"/>
      <c r="J39" s="170"/>
      <c r="K39" s="22"/>
      <c r="L39" s="23"/>
      <c r="M39" s="171"/>
      <c r="N39" s="22"/>
      <c r="O39" s="23"/>
      <c r="P39" s="169"/>
      <c r="Q39" s="70"/>
      <c r="R39" s="70"/>
      <c r="S39" s="169"/>
      <c r="T39" s="22"/>
      <c r="U39" s="58"/>
      <c r="V39" s="22"/>
      <c r="W39" s="58"/>
      <c r="X39" s="169"/>
      <c r="Y39" s="25"/>
      <c r="Z39" s="25"/>
      <c r="AA39" s="26"/>
      <c r="AB39" s="25"/>
      <c r="AC39" s="24"/>
    </row>
    <row r="40" spans="3:29" ht="16.5" customHeight="1">
      <c r="C40" s="41" t="s">
        <v>352</v>
      </c>
      <c r="F40" s="2"/>
      <c r="G40" s="13" t="s">
        <v>0</v>
      </c>
      <c r="H40" s="2" t="str">
        <f>IF('入力シート'!$E$182&lt;&gt;"",'入力シート'!$E$182,"")</f>
        <v>ii-④　☆■倉庫（東京都港区）－◎◎㈱横浜支店（横浜市）</v>
      </c>
      <c r="I40" s="2"/>
      <c r="J40" s="7"/>
      <c r="K40" s="8"/>
      <c r="L40" s="3"/>
      <c r="M40" s="7"/>
      <c r="N40" s="8"/>
      <c r="O40" s="3"/>
      <c r="P40" s="7"/>
      <c r="Q40" s="7"/>
      <c r="R40" s="7"/>
      <c r="S40" s="7"/>
      <c r="T40" s="8"/>
      <c r="U40" s="9"/>
      <c r="V40" s="8"/>
      <c r="W40" s="9"/>
      <c r="Y40" s="10"/>
      <c r="Z40" s="10"/>
      <c r="AA40" s="163"/>
      <c r="AB40" s="10"/>
      <c r="AC40" s="12"/>
    </row>
    <row r="41" spans="1:29" ht="15" customHeight="1" thickBot="1">
      <c r="A41" s="178" t="s">
        <v>209</v>
      </c>
      <c r="B41" s="178" t="s">
        <v>5</v>
      </c>
      <c r="C41" s="179" t="s">
        <v>210</v>
      </c>
      <c r="E41" s="152"/>
      <c r="F41" s="2"/>
      <c r="I41" s="2"/>
      <c r="J41" s="14" t="s">
        <v>4</v>
      </c>
      <c r="K41" s="8"/>
      <c r="L41" s="3"/>
      <c r="M41" s="14" t="s">
        <v>5</v>
      </c>
      <c r="N41" s="8"/>
      <c r="O41" s="56" t="s">
        <v>141</v>
      </c>
      <c r="Q41" s="14"/>
      <c r="R41" s="154"/>
      <c r="S41" s="154" t="s">
        <v>171</v>
      </c>
      <c r="T41" s="8"/>
      <c r="U41" s="9"/>
      <c r="V41" s="8"/>
      <c r="W41" s="9"/>
      <c r="X41" s="14" t="s">
        <v>6</v>
      </c>
      <c r="Y41" s="10"/>
      <c r="Z41" s="10"/>
      <c r="AA41" s="163"/>
      <c r="AB41" s="10"/>
      <c r="AC41" s="12"/>
    </row>
    <row r="42" spans="1:29" ht="15" customHeight="1" thickBot="1" thickTop="1">
      <c r="A42">
        <f>'入力シート'!$H$190</f>
        <v>30</v>
      </c>
      <c r="B42">
        <f>'入力シート'!$H$192</f>
        <v>83.2</v>
      </c>
      <c r="C42" t="str">
        <f>'入力シート'!$H$198</f>
        <v>軽油</v>
      </c>
      <c r="D42">
        <f>IF(ISERROR(A42*B42),0,A42*B42)</f>
        <v>2496</v>
      </c>
      <c r="E42" s="183">
        <f>X42</f>
        <v>0.9114630755610491</v>
      </c>
      <c r="F42" s="15"/>
      <c r="G42" s="15"/>
      <c r="H42" s="15"/>
      <c r="I42" s="50">
        <v>3</v>
      </c>
      <c r="J42" s="162">
        <f>A42</f>
        <v>30</v>
      </c>
      <c r="K42" s="4" t="s">
        <v>7</v>
      </c>
      <c r="L42" s="52">
        <v>4</v>
      </c>
      <c r="M42" s="162">
        <f>B42</f>
        <v>83.2</v>
      </c>
      <c r="N42" s="4" t="s">
        <v>7</v>
      </c>
      <c r="O42" s="50">
        <v>10</v>
      </c>
      <c r="P42" s="160">
        <f>C44</f>
        <v>0.1394177593404856</v>
      </c>
      <c r="Q42" s="4" t="s">
        <v>7</v>
      </c>
      <c r="R42" s="50"/>
      <c r="S42" s="156">
        <f>IF(ISERROR(VLOOKUP(C42,'係数関連'!$C$3:$P$11,13,FALSE)),"",VLOOKUP(C42,'係数関連'!$C$3:$P$11,13,FALSE))</f>
        <v>2.6192466666666663</v>
      </c>
      <c r="T42" s="53" t="s">
        <v>173</v>
      </c>
      <c r="U42" s="73" t="s">
        <v>174</v>
      </c>
      <c r="V42" s="53" t="s">
        <v>8</v>
      </c>
      <c r="W42" s="54">
        <v>31</v>
      </c>
      <c r="X42" s="55">
        <f>IF(ISERROR(J42*M42*P42*S42/1000),0,J42*M42*P42*S42/1000)</f>
        <v>0.9114630755610491</v>
      </c>
      <c r="Y42" s="16"/>
      <c r="Z42" s="56"/>
      <c r="AA42" s="163"/>
      <c r="AB42" s="19"/>
      <c r="AC42" s="17"/>
    </row>
    <row r="43" spans="1:29" ht="15" customHeight="1" thickTop="1">
      <c r="A43" s="178" t="str">
        <f>'入力シート'!$F$199</f>
        <v>最大積載量（kg）</v>
      </c>
      <c r="B43" s="178" t="str">
        <f>'入力シート'!$F$200</f>
        <v>積載率(%)</v>
      </c>
      <c r="C43" s="178" t="str">
        <f>'入力シート'!$F$201</f>
        <v>燃料使用原単位</v>
      </c>
      <c r="F43" s="20"/>
      <c r="G43" s="20"/>
      <c r="H43" s="20"/>
      <c r="I43" s="20"/>
      <c r="J43" s="170" t="s">
        <v>175</v>
      </c>
      <c r="K43" s="22"/>
      <c r="L43" s="23"/>
      <c r="M43" s="171" t="s">
        <v>178</v>
      </c>
      <c r="N43" s="22"/>
      <c r="O43" s="23"/>
      <c r="P43" s="169" t="s">
        <v>142</v>
      </c>
      <c r="Q43" s="70"/>
      <c r="R43" s="70"/>
      <c r="S43" s="169" t="s">
        <v>177</v>
      </c>
      <c r="T43" s="22"/>
      <c r="U43" s="58"/>
      <c r="V43" s="22"/>
      <c r="W43" s="58"/>
      <c r="X43" s="169" t="s">
        <v>18</v>
      </c>
      <c r="Y43" s="25"/>
      <c r="Z43" s="25"/>
      <c r="AA43" s="26"/>
      <c r="AB43" s="25"/>
      <c r="AC43" s="24"/>
    </row>
    <row r="44" spans="1:29" ht="15" customHeight="1">
      <c r="A44">
        <f>'入力シート'!$H$199</f>
        <v>4000</v>
      </c>
      <c r="B44" s="221">
        <f>'入力シート'!$H$200</f>
        <v>0.4</v>
      </c>
      <c r="C44">
        <f>'入力シート'!$H$204</f>
        <v>0.1394177593404856</v>
      </c>
      <c r="F44" s="20"/>
      <c r="G44" s="20"/>
      <c r="H44" s="20"/>
      <c r="I44" s="20"/>
      <c r="J44" s="170"/>
      <c r="K44" s="22"/>
      <c r="L44" s="23"/>
      <c r="M44" s="171"/>
      <c r="N44" s="22"/>
      <c r="O44" s="23"/>
      <c r="P44" s="169"/>
      <c r="Q44" s="70"/>
      <c r="R44" s="70"/>
      <c r="S44" s="169"/>
      <c r="T44" s="22"/>
      <c r="U44" s="58"/>
      <c r="V44" s="22"/>
      <c r="W44" s="58"/>
      <c r="X44" s="169"/>
      <c r="Y44" s="25"/>
      <c r="Z44" s="25"/>
      <c r="AA44" s="26"/>
      <c r="AB44" s="25"/>
      <c r="AC44" s="24"/>
    </row>
    <row r="45" spans="1:29" ht="15" customHeight="1">
      <c r="A45" s="44"/>
      <c r="B45" s="44"/>
      <c r="C45" s="44"/>
      <c r="D45" s="44"/>
      <c r="E45" s="2" t="s">
        <v>3</v>
      </c>
      <c r="F45" s="2"/>
      <c r="G45" s="2"/>
      <c r="H45" s="2"/>
      <c r="I45" s="59"/>
      <c r="J45" s="59"/>
      <c r="K45" s="8"/>
      <c r="L45" s="3"/>
      <c r="M45" s="7"/>
      <c r="N45" s="8"/>
      <c r="O45" s="3"/>
      <c r="P45" s="7"/>
      <c r="Q45" s="7"/>
      <c r="R45" s="7"/>
      <c r="S45" s="7"/>
      <c r="T45" s="8"/>
      <c r="U45" s="9"/>
      <c r="V45" s="8"/>
      <c r="W45" s="9"/>
      <c r="X45" s="7"/>
      <c r="Y45" s="10"/>
      <c r="Z45" s="10"/>
      <c r="AA45" s="11"/>
      <c r="AB45" s="10"/>
      <c r="AC45" s="12"/>
    </row>
    <row r="46" spans="3:29" ht="15" customHeight="1" thickBot="1">
      <c r="C46" t="s">
        <v>237</v>
      </c>
      <c r="D46">
        <f>SUM($D$4:$D$45)</f>
        <v>271023</v>
      </c>
      <c r="F46" s="2"/>
      <c r="G46" s="2"/>
      <c r="H46" s="2"/>
      <c r="I46" s="7"/>
      <c r="J46" s="7"/>
      <c r="K46" s="7"/>
      <c r="L46" s="7"/>
      <c r="M46" s="7"/>
      <c r="N46" s="8"/>
      <c r="O46" s="3"/>
      <c r="P46" s="7"/>
      <c r="Q46" s="7"/>
      <c r="R46" s="7"/>
      <c r="S46" s="7"/>
      <c r="T46" s="8"/>
      <c r="U46" s="9"/>
      <c r="V46" s="8"/>
      <c r="W46" s="9"/>
      <c r="X46" s="14" t="s">
        <v>6</v>
      </c>
      <c r="Y46" s="10"/>
      <c r="Z46" s="10"/>
      <c r="AA46" s="163"/>
      <c r="AB46" s="10"/>
      <c r="AC46" s="12"/>
    </row>
    <row r="47" spans="6:29" ht="21" customHeight="1" thickBot="1" thickTop="1">
      <c r="F47" s="15"/>
      <c r="G47" s="15"/>
      <c r="H47" s="15"/>
      <c r="I47" s="7"/>
      <c r="J47" s="7"/>
      <c r="K47" s="7"/>
      <c r="L47" s="7"/>
      <c r="M47" s="7"/>
      <c r="O47" s="188" t="s">
        <v>230</v>
      </c>
      <c r="P47" s="188"/>
      <c r="Q47" s="188"/>
      <c r="R47" s="188"/>
      <c r="S47" s="188"/>
      <c r="T47" s="188"/>
      <c r="U47" s="188"/>
      <c r="V47" s="53" t="s">
        <v>8</v>
      </c>
      <c r="W47" s="54">
        <v>32</v>
      </c>
      <c r="X47" s="55">
        <f>SUM($E$4:$E$45)</f>
        <v>46.02076112079619</v>
      </c>
      <c r="Y47" s="16"/>
      <c r="Z47" s="16"/>
      <c r="AA47" s="163"/>
      <c r="AB47" s="19"/>
      <c r="AC47" s="17"/>
    </row>
    <row r="48" spans="6:29" ht="15" customHeight="1" thickTop="1">
      <c r="F48" s="59"/>
      <c r="G48" s="59"/>
      <c r="H48" s="20"/>
      <c r="I48" s="7"/>
      <c r="J48" s="7"/>
      <c r="K48" s="7"/>
      <c r="L48" s="7"/>
      <c r="M48" s="7"/>
      <c r="N48" s="22"/>
      <c r="O48" s="23"/>
      <c r="P48" s="57"/>
      <c r="Q48" s="57"/>
      <c r="R48" s="57"/>
      <c r="S48" s="57"/>
      <c r="T48" s="22"/>
      <c r="U48" s="58"/>
      <c r="V48" s="22"/>
      <c r="W48" s="58"/>
      <c r="X48" s="53" t="s">
        <v>18</v>
      </c>
      <c r="Y48" s="25"/>
      <c r="Z48" s="25"/>
      <c r="AA48" s="26"/>
      <c r="AB48" s="25"/>
      <c r="AC48" s="24"/>
    </row>
    <row r="49" spans="6:29" ht="15" customHeight="1">
      <c r="F49" s="2"/>
      <c r="G49" s="2"/>
      <c r="H49" s="2"/>
      <c r="I49" s="2"/>
      <c r="J49" s="7"/>
      <c r="K49" s="8"/>
      <c r="L49" s="3"/>
      <c r="M49" s="7"/>
      <c r="N49" s="8"/>
      <c r="O49" s="3"/>
      <c r="P49" s="2"/>
      <c r="Q49" s="2"/>
      <c r="R49" s="2"/>
      <c r="S49" s="2"/>
      <c r="T49" s="8"/>
      <c r="U49" s="9"/>
      <c r="V49" s="8"/>
      <c r="W49" s="9"/>
      <c r="X49" s="7"/>
      <c r="Y49" s="10"/>
      <c r="Z49" s="10"/>
      <c r="AA49" s="11"/>
      <c r="AB49" s="10"/>
      <c r="AC49" s="12"/>
    </row>
    <row r="50" spans="6:29" ht="14.25">
      <c r="F50" s="41" t="s">
        <v>227</v>
      </c>
      <c r="G50" s="42"/>
      <c r="H50" s="43"/>
      <c r="I50" s="43"/>
      <c r="J50" s="44"/>
      <c r="K50" s="45"/>
      <c r="L50" s="46"/>
      <c r="M50" s="44"/>
      <c r="N50" s="45"/>
      <c r="O50" s="46"/>
      <c r="P50" s="44"/>
      <c r="Q50" s="44"/>
      <c r="R50" s="44"/>
      <c r="S50" s="44"/>
      <c r="T50" s="45"/>
      <c r="U50" s="47"/>
      <c r="V50" s="45"/>
      <c r="W50" s="47"/>
      <c r="X50" s="44"/>
      <c r="Y50" s="48"/>
      <c r="Z50" s="48"/>
      <c r="AA50" s="49"/>
      <c r="AB50" s="10"/>
      <c r="AC50" s="12"/>
    </row>
    <row r="51" spans="6:31" ht="14.25" customHeight="1">
      <c r="F51" s="2"/>
      <c r="G51" s="2"/>
      <c r="H51" s="2"/>
      <c r="I51" s="2"/>
      <c r="J51" s="7"/>
      <c r="K51" s="8"/>
      <c r="L51" s="3"/>
      <c r="M51" s="7"/>
      <c r="N51" s="8"/>
      <c r="O51" s="3"/>
      <c r="P51" s="7"/>
      <c r="Q51" s="164"/>
      <c r="R51" s="164"/>
      <c r="S51" s="164"/>
      <c r="T51" s="164"/>
      <c r="U51" s="164"/>
      <c r="V51" s="164"/>
      <c r="W51" s="164"/>
      <c r="X51" s="164"/>
      <c r="Y51" s="164"/>
      <c r="Z51" s="164"/>
      <c r="AA51" s="164"/>
      <c r="AB51" s="164"/>
      <c r="AC51" s="164"/>
      <c r="AD51" s="10"/>
      <c r="AE51" s="12"/>
    </row>
    <row r="52" spans="3:29" ht="16.5" customHeight="1">
      <c r="C52" s="41" t="s">
        <v>352</v>
      </c>
      <c r="F52" s="2"/>
      <c r="G52" s="13" t="s">
        <v>0</v>
      </c>
      <c r="H52" s="2" t="str">
        <f>IF('入力シート'!$E$209&lt;&gt;"",'入力シート'!$E$209,"")</f>
        <v>i-①　新物流センター（東京都港区）－○△倉庫＆■△産業（横浜市）</v>
      </c>
      <c r="I52" s="2"/>
      <c r="J52" s="7"/>
      <c r="K52" s="8"/>
      <c r="L52" s="3"/>
      <c r="M52" s="7"/>
      <c r="N52" s="8"/>
      <c r="O52" s="3"/>
      <c r="P52" s="7"/>
      <c r="Q52" s="7"/>
      <c r="R52" s="7"/>
      <c r="S52" s="7"/>
      <c r="T52" s="8"/>
      <c r="U52" s="9"/>
      <c r="V52" s="8"/>
      <c r="W52" s="9"/>
      <c r="Y52" s="10"/>
      <c r="Z52" s="10"/>
      <c r="AA52" s="163"/>
      <c r="AB52" s="10"/>
      <c r="AC52" s="12"/>
    </row>
    <row r="53" spans="1:29" ht="15" customHeight="1" thickBot="1">
      <c r="A53" s="178" t="s">
        <v>209</v>
      </c>
      <c r="B53" s="178" t="s">
        <v>5</v>
      </c>
      <c r="C53" s="179" t="s">
        <v>210</v>
      </c>
      <c r="E53" s="152"/>
      <c r="F53" s="2"/>
      <c r="I53" s="2"/>
      <c r="J53" s="14" t="s">
        <v>4</v>
      </c>
      <c r="K53" s="8"/>
      <c r="L53" s="3"/>
      <c r="M53" s="14" t="s">
        <v>5</v>
      </c>
      <c r="N53" s="8"/>
      <c r="O53" s="56" t="s">
        <v>141</v>
      </c>
      <c r="Q53" s="14"/>
      <c r="R53" s="154"/>
      <c r="S53" s="154" t="s">
        <v>171</v>
      </c>
      <c r="T53" s="8"/>
      <c r="U53" s="9"/>
      <c r="V53" s="8"/>
      <c r="W53" s="9"/>
      <c r="X53" s="14" t="s">
        <v>6</v>
      </c>
      <c r="Y53" s="10"/>
      <c r="Z53" s="10"/>
      <c r="AA53" s="163"/>
      <c r="AB53" s="10"/>
      <c r="AC53" s="12"/>
    </row>
    <row r="54" spans="1:29" ht="15" customHeight="1" thickBot="1" thickTop="1">
      <c r="A54">
        <f>'入力シート'!$H$217</f>
        <v>30</v>
      </c>
      <c r="B54">
        <f>'入力シート'!$H$219</f>
        <v>4541.3</v>
      </c>
      <c r="C54" t="str">
        <f>'入力シート'!$H$225</f>
        <v>軽油</v>
      </c>
      <c r="D54">
        <f>IF(ISERROR(A54*B54),0,A54*B54)</f>
        <v>136239</v>
      </c>
      <c r="E54" s="183">
        <f>X54</f>
        <v>9.890840682111786</v>
      </c>
      <c r="F54" s="15"/>
      <c r="G54" s="15"/>
      <c r="H54" s="15"/>
      <c r="I54" s="50">
        <v>3</v>
      </c>
      <c r="J54" s="162">
        <f>A54</f>
        <v>30</v>
      </c>
      <c r="K54" s="4" t="s">
        <v>7</v>
      </c>
      <c r="L54" s="52">
        <v>4</v>
      </c>
      <c r="M54" s="162">
        <f>B54</f>
        <v>4541.3</v>
      </c>
      <c r="N54" s="4" t="s">
        <v>7</v>
      </c>
      <c r="O54" s="50">
        <v>10</v>
      </c>
      <c r="P54" s="160">
        <f>C56</f>
        <v>0.027717583169983646</v>
      </c>
      <c r="Q54" s="4" t="s">
        <v>7</v>
      </c>
      <c r="R54" s="50"/>
      <c r="S54" s="156">
        <f>IF(ISERROR(VLOOKUP(C54,'係数関連'!$C$3:$P$11,13,FALSE)),"",VLOOKUP(C54,'係数関連'!$C$3:$P$11,13,FALSE))</f>
        <v>2.6192466666666663</v>
      </c>
      <c r="T54" s="53" t="s">
        <v>173</v>
      </c>
      <c r="U54" s="73" t="s">
        <v>174</v>
      </c>
      <c r="V54" s="53" t="s">
        <v>8</v>
      </c>
      <c r="W54" s="54">
        <v>31</v>
      </c>
      <c r="X54" s="55">
        <f>IF(ISERROR(J54*M54*P54*S54/1000),0,J54*M54*P54*S54/1000)</f>
        <v>9.890840682111786</v>
      </c>
      <c r="Y54" s="16"/>
      <c r="Z54" s="56"/>
      <c r="AA54" s="163"/>
      <c r="AB54" s="19"/>
      <c r="AC54" s="17"/>
    </row>
    <row r="55" spans="1:29" ht="15" customHeight="1" thickTop="1">
      <c r="A55" s="178" t="str">
        <f>'入力シート'!$F$226</f>
        <v>最大積載量（kg）</v>
      </c>
      <c r="B55" s="178" t="str">
        <f>'入力シート'!$F$227</f>
        <v>積載率(%)</v>
      </c>
      <c r="C55" s="178" t="str">
        <f>'入力シート'!$F$228</f>
        <v>燃料使用原単位</v>
      </c>
      <c r="F55" s="20"/>
      <c r="G55" s="20"/>
      <c r="H55" s="20"/>
      <c r="I55" s="20"/>
      <c r="J55" s="170" t="s">
        <v>175</v>
      </c>
      <c r="K55" s="22"/>
      <c r="L55" s="23"/>
      <c r="M55" s="171" t="s">
        <v>178</v>
      </c>
      <c r="N55" s="22"/>
      <c r="O55" s="23"/>
      <c r="P55" s="169" t="s">
        <v>142</v>
      </c>
      <c r="Q55" s="70"/>
      <c r="R55" s="70"/>
      <c r="S55" s="169" t="s">
        <v>177</v>
      </c>
      <c r="T55" s="22"/>
      <c r="U55" s="58"/>
      <c r="V55" s="22"/>
      <c r="W55" s="58"/>
      <c r="X55" s="169" t="s">
        <v>18</v>
      </c>
      <c r="Y55" s="25"/>
      <c r="Z55" s="25"/>
      <c r="AA55" s="26"/>
      <c r="AB55" s="25"/>
      <c r="AC55" s="24"/>
    </row>
    <row r="56" spans="1:29" ht="15" customHeight="1">
      <c r="A56">
        <f>'入力シート'!$H$226</f>
        <v>20000</v>
      </c>
      <c r="B56" s="221">
        <f>'入力シート'!$H$227</f>
        <v>0.8</v>
      </c>
      <c r="C56">
        <f>'入力シート'!$H$231</f>
        <v>0.027717583169983646</v>
      </c>
      <c r="F56" s="20"/>
      <c r="G56" s="20"/>
      <c r="H56" s="20"/>
      <c r="I56" s="20"/>
      <c r="J56" s="170"/>
      <c r="K56" s="22"/>
      <c r="L56" s="23"/>
      <c r="M56" s="171"/>
      <c r="N56" s="22"/>
      <c r="O56" s="23"/>
      <c r="P56" s="169"/>
      <c r="Q56" s="70"/>
      <c r="R56" s="70"/>
      <c r="S56" s="169"/>
      <c r="T56" s="22"/>
      <c r="U56" s="58"/>
      <c r="V56" s="22"/>
      <c r="W56" s="58"/>
      <c r="X56" s="169"/>
      <c r="Y56" s="25"/>
      <c r="Z56" s="25"/>
      <c r="AA56" s="26"/>
      <c r="AB56" s="25"/>
      <c r="AC56" s="24"/>
    </row>
    <row r="57" spans="3:29" ht="16.5" customHeight="1">
      <c r="C57" s="41" t="s">
        <v>352</v>
      </c>
      <c r="F57" s="2"/>
      <c r="G57" s="13" t="s">
        <v>0</v>
      </c>
      <c r="H57" s="2" t="str">
        <f>IF('入力シート'!$E$234&lt;&gt;"",'入力シート'!$E$234,"")</f>
        <v>i-②　新物流センター（東京都港区）－■○物流センター＆◎◎㈱横浜支店（横浜市）</v>
      </c>
      <c r="I57" s="2"/>
      <c r="J57" s="7"/>
      <c r="K57" s="8"/>
      <c r="L57" s="3"/>
      <c r="M57" s="7"/>
      <c r="N57" s="8"/>
      <c r="O57" s="3"/>
      <c r="P57" s="7"/>
      <c r="Q57" s="7"/>
      <c r="R57" s="7"/>
      <c r="S57" s="7"/>
      <c r="T57" s="8"/>
      <c r="U57" s="9"/>
      <c r="V57" s="8"/>
      <c r="W57" s="9"/>
      <c r="Y57" s="10"/>
      <c r="Z57" s="10"/>
      <c r="AA57" s="163"/>
      <c r="AB57" s="10"/>
      <c r="AC57" s="12"/>
    </row>
    <row r="58" spans="1:29" ht="15" customHeight="1" thickBot="1">
      <c r="A58" s="178" t="s">
        <v>209</v>
      </c>
      <c r="B58" s="178" t="s">
        <v>5</v>
      </c>
      <c r="C58" s="179" t="s">
        <v>210</v>
      </c>
      <c r="E58" s="152"/>
      <c r="F58" s="2"/>
      <c r="I58" s="2"/>
      <c r="J58" s="14" t="s">
        <v>4</v>
      </c>
      <c r="K58" s="8"/>
      <c r="L58" s="3"/>
      <c r="M58" s="14" t="s">
        <v>5</v>
      </c>
      <c r="N58" s="8"/>
      <c r="O58" s="56" t="s">
        <v>141</v>
      </c>
      <c r="Q58" s="14"/>
      <c r="R58" s="154"/>
      <c r="S58" s="154" t="s">
        <v>171</v>
      </c>
      <c r="T58" s="8"/>
      <c r="U58" s="9"/>
      <c r="V58" s="8"/>
      <c r="W58" s="9"/>
      <c r="X58" s="14" t="s">
        <v>6</v>
      </c>
      <c r="Y58" s="10"/>
      <c r="Z58" s="10"/>
      <c r="AA58" s="163"/>
      <c r="AB58" s="10"/>
      <c r="AC58" s="12"/>
    </row>
    <row r="59" spans="1:29" ht="15" customHeight="1" thickBot="1" thickTop="1">
      <c r="A59">
        <f>'入力シート'!$H$242</f>
        <v>30</v>
      </c>
      <c r="B59">
        <f>'入力シート'!$H$244</f>
        <v>4492.8</v>
      </c>
      <c r="C59" t="str">
        <f>'入力シート'!$H$250</f>
        <v>軽油</v>
      </c>
      <c r="D59">
        <f>IF(ISERROR(A59*B59),0,A59*B59)</f>
        <v>134784</v>
      </c>
      <c r="E59" s="183">
        <f>X59</f>
        <v>9.785208864552404</v>
      </c>
      <c r="F59" s="15"/>
      <c r="G59" s="15"/>
      <c r="H59" s="15"/>
      <c r="I59" s="50">
        <v>3</v>
      </c>
      <c r="J59" s="162">
        <f>A59</f>
        <v>30</v>
      </c>
      <c r="K59" s="4" t="s">
        <v>7</v>
      </c>
      <c r="L59" s="52">
        <v>4</v>
      </c>
      <c r="M59" s="162">
        <f>B59</f>
        <v>4492.8</v>
      </c>
      <c r="N59" s="4" t="s">
        <v>7</v>
      </c>
      <c r="O59" s="50">
        <v>10</v>
      </c>
      <c r="P59" s="160">
        <f>C61</f>
        <v>0.027717583169983646</v>
      </c>
      <c r="Q59" s="4" t="s">
        <v>7</v>
      </c>
      <c r="R59" s="50"/>
      <c r="S59" s="156">
        <f>IF(ISERROR(VLOOKUP(C59,'係数関連'!$C$3:$P$11,13,FALSE)),"",VLOOKUP(C59,'係数関連'!$C$3:$P$11,13,FALSE))</f>
        <v>2.6192466666666663</v>
      </c>
      <c r="T59" s="53" t="s">
        <v>173</v>
      </c>
      <c r="U59" s="73" t="s">
        <v>174</v>
      </c>
      <c r="V59" s="53" t="s">
        <v>8</v>
      </c>
      <c r="W59" s="54">
        <v>31</v>
      </c>
      <c r="X59" s="55">
        <f>IF(ISERROR(J59*M59*P59*S59/1000),0,J59*M59*P59*S59/1000)</f>
        <v>9.785208864552404</v>
      </c>
      <c r="Y59" s="16"/>
      <c r="Z59" s="56"/>
      <c r="AA59" s="163"/>
      <c r="AB59" s="19"/>
      <c r="AC59" s="17"/>
    </row>
    <row r="60" spans="1:29" ht="15" customHeight="1" thickTop="1">
      <c r="A60" s="178" t="str">
        <f>'入力シート'!$F$251</f>
        <v>最大積載量（kg）</v>
      </c>
      <c r="B60" s="178" t="str">
        <f>'入力シート'!$F$252</f>
        <v>積載率(%)</v>
      </c>
      <c r="C60" s="178" t="str">
        <f>'入力シート'!$F$253</f>
        <v>燃料使用原単位</v>
      </c>
      <c r="F60" s="20"/>
      <c r="G60" s="20"/>
      <c r="H60" s="20"/>
      <c r="I60" s="20"/>
      <c r="J60" s="170" t="s">
        <v>175</v>
      </c>
      <c r="K60" s="22"/>
      <c r="L60" s="23"/>
      <c r="M60" s="171" t="s">
        <v>178</v>
      </c>
      <c r="N60" s="22"/>
      <c r="O60" s="23"/>
      <c r="P60" s="169" t="s">
        <v>142</v>
      </c>
      <c r="Q60" s="70"/>
      <c r="R60" s="70"/>
      <c r="S60" s="169" t="s">
        <v>177</v>
      </c>
      <c r="T60" s="22"/>
      <c r="U60" s="58"/>
      <c r="V60" s="22"/>
      <c r="W60" s="58"/>
      <c r="X60" s="169" t="s">
        <v>18</v>
      </c>
      <c r="Y60" s="25"/>
      <c r="Z60" s="25"/>
      <c r="AA60" s="26"/>
      <c r="AB60" s="25"/>
      <c r="AC60" s="24"/>
    </row>
    <row r="61" spans="1:29" ht="15" customHeight="1">
      <c r="A61">
        <f>'入力シート'!$H$251</f>
        <v>20000</v>
      </c>
      <c r="B61" s="221">
        <f>'入力シート'!$H$252</f>
        <v>0.8</v>
      </c>
      <c r="C61">
        <f>'入力シート'!$H$256</f>
        <v>0.027717583169983646</v>
      </c>
      <c r="F61" s="20"/>
      <c r="G61" s="20"/>
      <c r="H61" s="20"/>
      <c r="I61" s="20"/>
      <c r="J61" s="170"/>
      <c r="K61" s="22"/>
      <c r="L61" s="23"/>
      <c r="M61" s="171"/>
      <c r="N61" s="22"/>
      <c r="O61" s="23"/>
      <c r="P61" s="169"/>
      <c r="Q61" s="70"/>
      <c r="R61" s="70"/>
      <c r="S61" s="169"/>
      <c r="T61" s="22"/>
      <c r="U61" s="58"/>
      <c r="V61" s="22"/>
      <c r="W61" s="58"/>
      <c r="X61" s="169"/>
      <c r="Y61" s="25"/>
      <c r="Z61" s="25"/>
      <c r="AA61" s="26"/>
      <c r="AB61" s="25"/>
      <c r="AC61" s="24"/>
    </row>
    <row r="62" spans="1:29" ht="14.25" customHeight="1">
      <c r="A62" s="44"/>
      <c r="B62" s="44"/>
      <c r="C62" s="44"/>
      <c r="D62" s="44"/>
      <c r="E62" s="2" t="s">
        <v>3</v>
      </c>
      <c r="F62" s="2"/>
      <c r="G62" s="2"/>
      <c r="H62" s="2"/>
      <c r="I62" s="1"/>
      <c r="J62" s="7"/>
      <c r="K62" s="8"/>
      <c r="L62" s="3"/>
      <c r="M62" s="7"/>
      <c r="N62" s="8"/>
      <c r="O62" s="3"/>
      <c r="P62" s="7"/>
      <c r="Q62" s="7"/>
      <c r="R62" s="7"/>
      <c r="S62" s="7"/>
      <c r="T62" s="8"/>
      <c r="U62" s="9"/>
      <c r="V62" s="8"/>
      <c r="W62" s="9"/>
      <c r="X62" s="7"/>
      <c r="Y62" s="10"/>
      <c r="Z62" s="10"/>
      <c r="AA62" s="11"/>
      <c r="AB62" s="10"/>
      <c r="AC62" s="12"/>
    </row>
    <row r="63" spans="3:29" ht="14.25" customHeight="1" thickBot="1">
      <c r="C63" t="s">
        <v>237</v>
      </c>
      <c r="D63">
        <f>SUM($D$51:$D$62)</f>
        <v>271023</v>
      </c>
      <c r="F63" s="2"/>
      <c r="G63" s="2"/>
      <c r="H63" s="2"/>
      <c r="I63" s="7"/>
      <c r="J63" s="7"/>
      <c r="K63" s="7"/>
      <c r="L63" s="7"/>
      <c r="M63" s="7"/>
      <c r="N63" s="8"/>
      <c r="O63" s="3"/>
      <c r="P63" s="7"/>
      <c r="Q63" s="7"/>
      <c r="R63" s="7"/>
      <c r="S63" s="7"/>
      <c r="T63" s="8"/>
      <c r="U63" s="9"/>
      <c r="V63" s="8"/>
      <c r="W63" s="9"/>
      <c r="X63" s="14" t="s">
        <v>6</v>
      </c>
      <c r="Y63" s="10"/>
      <c r="Z63" s="10"/>
      <c r="AA63" s="163"/>
      <c r="AB63" s="10"/>
      <c r="AC63" s="12"/>
    </row>
    <row r="64" spans="6:29" ht="20.25" customHeight="1" thickBot="1" thickTop="1">
      <c r="F64" s="15"/>
      <c r="G64" s="15"/>
      <c r="H64" s="15"/>
      <c r="I64" s="7"/>
      <c r="J64" s="7"/>
      <c r="K64" s="7"/>
      <c r="L64" s="7"/>
      <c r="M64" s="7"/>
      <c r="O64" s="188" t="s">
        <v>231</v>
      </c>
      <c r="P64" s="188"/>
      <c r="Q64" s="188"/>
      <c r="R64" s="188"/>
      <c r="S64" s="188"/>
      <c r="T64" s="188"/>
      <c r="U64" s="188"/>
      <c r="V64" s="53" t="s">
        <v>8</v>
      </c>
      <c r="W64" s="54">
        <v>42</v>
      </c>
      <c r="X64" s="55">
        <f>SUM(E51:E62)</f>
        <v>19.67604954666419</v>
      </c>
      <c r="Y64" s="16"/>
      <c r="Z64" s="16"/>
      <c r="AA64" s="163"/>
      <c r="AB64" s="19"/>
      <c r="AC64" s="17"/>
    </row>
    <row r="65" spans="6:29" ht="14.25" customHeight="1" thickTop="1">
      <c r="F65" s="59"/>
      <c r="G65" s="59"/>
      <c r="H65" s="20"/>
      <c r="I65" s="7"/>
      <c r="J65" s="7"/>
      <c r="K65" s="7"/>
      <c r="L65" s="7"/>
      <c r="M65" s="7"/>
      <c r="N65" s="22"/>
      <c r="O65" s="23"/>
      <c r="P65" s="57"/>
      <c r="Q65" s="57"/>
      <c r="R65" s="57"/>
      <c r="S65" s="57"/>
      <c r="T65" s="22"/>
      <c r="U65" s="58"/>
      <c r="V65" s="22"/>
      <c r="W65" s="58"/>
      <c r="X65" s="53" t="s">
        <v>18</v>
      </c>
      <c r="Y65" s="25"/>
      <c r="Z65" s="25"/>
      <c r="AA65" s="26"/>
      <c r="AB65" s="25"/>
      <c r="AC65" s="24"/>
    </row>
    <row r="66" spans="6:29" ht="14.25" customHeight="1">
      <c r="F66" s="2"/>
      <c r="G66" s="2"/>
      <c r="H66" s="2"/>
      <c r="I66" s="2"/>
      <c r="J66" s="7"/>
      <c r="K66" s="8"/>
      <c r="L66" s="3"/>
      <c r="M66" s="7"/>
      <c r="N66" s="8"/>
      <c r="O66" s="3"/>
      <c r="P66" s="2"/>
      <c r="Q66" s="2"/>
      <c r="R66" s="2"/>
      <c r="S66" s="2"/>
      <c r="T66" s="8"/>
      <c r="U66" s="9"/>
      <c r="V66" s="8"/>
      <c r="W66" s="9"/>
      <c r="X66" s="7"/>
      <c r="Y66" s="10"/>
      <c r="Z66" s="10"/>
      <c r="AA66" s="11"/>
      <c r="AB66" s="10"/>
      <c r="AC66" s="12"/>
    </row>
    <row r="67" spans="6:27" ht="16.5" customHeight="1">
      <c r="F67" s="41" t="s">
        <v>10</v>
      </c>
      <c r="G67" s="60"/>
      <c r="H67" s="60"/>
      <c r="I67" s="60"/>
      <c r="J67" s="61"/>
      <c r="K67" s="62"/>
      <c r="L67" s="63"/>
      <c r="M67" s="61"/>
      <c r="N67" s="62"/>
      <c r="O67" s="63"/>
      <c r="P67" s="61"/>
      <c r="Q67" s="61"/>
      <c r="R67" s="61"/>
      <c r="S67" s="61"/>
      <c r="T67" s="62"/>
      <c r="U67" s="64"/>
      <c r="V67" s="62"/>
      <c r="W67" s="64"/>
      <c r="X67" s="61"/>
      <c r="Y67" s="65"/>
      <c r="Z67" s="65"/>
      <c r="AA67" s="66"/>
    </row>
    <row r="68" ht="15" customHeight="1"/>
    <row r="69" spans="7:8" ht="15" customHeight="1">
      <c r="G69" s="13" t="s">
        <v>0</v>
      </c>
      <c r="H69" s="1" t="s">
        <v>11</v>
      </c>
    </row>
    <row r="70" spans="6:29" ht="15" customHeight="1" thickBot="1">
      <c r="F70" s="2"/>
      <c r="G70" s="2"/>
      <c r="H70" s="2"/>
      <c r="I70" s="2"/>
      <c r="J70" s="14" t="s">
        <v>296</v>
      </c>
      <c r="K70" s="8"/>
      <c r="L70" s="3"/>
      <c r="M70" s="14" t="s">
        <v>297</v>
      </c>
      <c r="N70" s="8"/>
      <c r="O70" s="3"/>
      <c r="P70" s="7"/>
      <c r="Q70" s="7"/>
      <c r="R70" s="7"/>
      <c r="S70" s="7"/>
      <c r="T70" s="8"/>
      <c r="U70" s="9"/>
      <c r="V70" s="8"/>
      <c r="W70" s="9"/>
      <c r="X70" s="14" t="s">
        <v>11</v>
      </c>
      <c r="Y70" s="10"/>
      <c r="Z70" s="10"/>
      <c r="AA70" s="11"/>
      <c r="AB70" s="10"/>
      <c r="AC70" s="12"/>
    </row>
    <row r="71" spans="6:29" ht="15" customHeight="1" thickBot="1" thickTop="1">
      <c r="F71" s="15"/>
      <c r="G71" s="15"/>
      <c r="H71" s="15"/>
      <c r="I71" s="50">
        <v>32</v>
      </c>
      <c r="J71" s="51">
        <f>$X$47</f>
        <v>46.02076112079619</v>
      </c>
      <c r="K71" s="53" t="s">
        <v>12</v>
      </c>
      <c r="L71" s="37">
        <v>42</v>
      </c>
      <c r="M71" s="51">
        <f>$X$64</f>
        <v>19.67604954666419</v>
      </c>
      <c r="N71" s="4"/>
      <c r="O71" s="3"/>
      <c r="P71" s="7"/>
      <c r="Q71" s="7"/>
      <c r="R71" s="7"/>
      <c r="S71" s="7"/>
      <c r="T71" s="53"/>
      <c r="U71" s="72"/>
      <c r="V71" s="53" t="s">
        <v>8</v>
      </c>
      <c r="W71" s="54">
        <v>51</v>
      </c>
      <c r="X71" s="55">
        <f>J71-M71</f>
        <v>26.344711574132</v>
      </c>
      <c r="Y71" s="16"/>
      <c r="Z71" s="16"/>
      <c r="AA71" s="11"/>
      <c r="AB71" s="19"/>
      <c r="AC71" s="17"/>
    </row>
    <row r="72" spans="6:29" ht="15" customHeight="1" thickTop="1">
      <c r="F72" s="59"/>
      <c r="G72" s="59"/>
      <c r="H72" s="20"/>
      <c r="I72" s="20"/>
      <c r="J72" s="53" t="s">
        <v>18</v>
      </c>
      <c r="K72" s="22"/>
      <c r="L72" s="23"/>
      <c r="M72" s="53" t="s">
        <v>18</v>
      </c>
      <c r="N72" s="22"/>
      <c r="O72" s="23"/>
      <c r="P72" s="57"/>
      <c r="Q72" s="57"/>
      <c r="R72" s="57"/>
      <c r="S72" s="57"/>
      <c r="T72" s="22"/>
      <c r="U72" s="58"/>
      <c r="V72" s="22"/>
      <c r="W72" s="58"/>
      <c r="X72" s="53" t="s">
        <v>18</v>
      </c>
      <c r="Y72" s="25"/>
      <c r="Z72" s="25"/>
      <c r="AA72" s="26"/>
      <c r="AB72" s="25"/>
      <c r="AC72" s="24"/>
    </row>
    <row r="73" ht="15" customHeight="1"/>
    <row r="74" spans="7:27" ht="15" customHeight="1">
      <c r="G74" s="13" t="s">
        <v>0</v>
      </c>
      <c r="H74" s="1" t="s">
        <v>13</v>
      </c>
      <c r="L74" s="27"/>
      <c r="U74" s="29"/>
      <c r="W74" s="29"/>
      <c r="Y74" s="29"/>
      <c r="Z74" s="31"/>
      <c r="AA74" s="28"/>
    </row>
    <row r="75" spans="6:29" ht="15" customHeight="1" thickBot="1">
      <c r="F75" s="2"/>
      <c r="G75" s="2"/>
      <c r="H75" s="2"/>
      <c r="I75" s="2"/>
      <c r="J75" s="14"/>
      <c r="K75" s="14"/>
      <c r="L75" s="2"/>
      <c r="M75" s="14" t="s">
        <v>297</v>
      </c>
      <c r="N75" s="14"/>
      <c r="O75" s="3"/>
      <c r="P75" s="14" t="s">
        <v>296</v>
      </c>
      <c r="Q75" s="14"/>
      <c r="R75" s="14"/>
      <c r="S75" s="14"/>
      <c r="T75" s="8"/>
      <c r="U75" s="8"/>
      <c r="V75" s="8"/>
      <c r="W75" s="8"/>
      <c r="X75" s="14" t="s">
        <v>13</v>
      </c>
      <c r="Y75" s="8"/>
      <c r="Z75" s="9"/>
      <c r="AA75" s="14"/>
      <c r="AB75" s="10"/>
      <c r="AC75" s="12"/>
    </row>
    <row r="76" spans="6:29" ht="15.75" thickBot="1" thickTop="1">
      <c r="F76" s="15"/>
      <c r="G76" s="15"/>
      <c r="H76" s="38"/>
      <c r="I76" s="67" t="s">
        <v>14</v>
      </c>
      <c r="J76" s="18">
        <v>1</v>
      </c>
      <c r="K76" s="53" t="s">
        <v>15</v>
      </c>
      <c r="L76" s="50">
        <v>42</v>
      </c>
      <c r="M76" s="51">
        <f>M71</f>
        <v>19.67604954666419</v>
      </c>
      <c r="N76" s="53" t="s">
        <v>16</v>
      </c>
      <c r="O76" s="37">
        <v>32</v>
      </c>
      <c r="P76" s="51">
        <f>J71</f>
        <v>46.02076112079619</v>
      </c>
      <c r="Q76" s="53" t="s">
        <v>17</v>
      </c>
      <c r="R76" s="53" t="s">
        <v>7</v>
      </c>
      <c r="S76" s="7">
        <v>100</v>
      </c>
      <c r="V76" s="53" t="s">
        <v>8</v>
      </c>
      <c r="W76" s="54">
        <v>52</v>
      </c>
      <c r="X76" s="55">
        <f>IF(ISERROR((1-M76/P76)*100),0,(1-M76/P76)*100)</f>
        <v>57.24527568108204</v>
      </c>
      <c r="AB76" s="19"/>
      <c r="AC76" s="17"/>
    </row>
    <row r="77" spans="6:29" ht="15.75" thickTop="1">
      <c r="F77" s="59"/>
      <c r="G77" s="59"/>
      <c r="H77" s="20"/>
      <c r="I77" s="20"/>
      <c r="J77" s="57"/>
      <c r="K77" s="22"/>
      <c r="L77" s="20"/>
      <c r="M77" s="53" t="s">
        <v>18</v>
      </c>
      <c r="N77" s="22"/>
      <c r="O77" s="23"/>
      <c r="P77" s="53" t="s">
        <v>18</v>
      </c>
      <c r="Q77" s="53"/>
      <c r="R77" s="22"/>
      <c r="S77" s="53" t="s">
        <v>164</v>
      </c>
      <c r="V77" s="22"/>
      <c r="W77" s="58"/>
      <c r="X77" s="53" t="s">
        <v>164</v>
      </c>
      <c r="AB77" s="25"/>
      <c r="AC77" s="24"/>
    </row>
    <row r="79" spans="6:29" ht="33" customHeight="1">
      <c r="F79" s="41" t="s">
        <v>211</v>
      </c>
      <c r="G79" s="42"/>
      <c r="H79" s="43"/>
      <c r="I79" s="43"/>
      <c r="J79" s="44"/>
      <c r="K79" s="45"/>
      <c r="L79" s="46"/>
      <c r="M79" s="44"/>
      <c r="N79" s="45"/>
      <c r="O79" s="46"/>
      <c r="P79" s="44"/>
      <c r="Q79" s="44"/>
      <c r="R79" s="44"/>
      <c r="S79" s="44"/>
      <c r="T79" s="45"/>
      <c r="U79" s="47"/>
      <c r="V79" s="45"/>
      <c r="W79" s="47"/>
      <c r="X79" s="44"/>
      <c r="Y79" s="48"/>
      <c r="Z79" s="48"/>
      <c r="AA79" s="49"/>
      <c r="AB79" s="10"/>
      <c r="AC79" s="12"/>
    </row>
    <row r="80" spans="6:31" ht="33" customHeight="1">
      <c r="F80" s="2"/>
      <c r="G80" s="2"/>
      <c r="H80" s="2"/>
      <c r="I80" s="2"/>
      <c r="J80" s="7"/>
      <c r="K80" s="8"/>
      <c r="L80" s="3"/>
      <c r="M80" s="7"/>
      <c r="N80" s="8"/>
      <c r="O80" s="3"/>
      <c r="P80" s="7"/>
      <c r="Q80" s="288" t="s">
        <v>165</v>
      </c>
      <c r="R80" s="288"/>
      <c r="S80" s="288"/>
      <c r="T80" s="288"/>
      <c r="U80" s="288"/>
      <c r="V80" s="288"/>
      <c r="W80" s="288"/>
      <c r="X80" s="288"/>
      <c r="Y80" s="288"/>
      <c r="Z80" s="288"/>
      <c r="AA80" s="288"/>
      <c r="AB80" s="164"/>
      <c r="AC80" s="164"/>
      <c r="AD80" s="10"/>
      <c r="AE80" s="12"/>
    </row>
    <row r="81" spans="6:29" ht="14.25">
      <c r="F81" s="41" t="s">
        <v>240</v>
      </c>
      <c r="G81" s="42"/>
      <c r="H81" s="43"/>
      <c r="I81" s="43"/>
      <c r="J81" s="44"/>
      <c r="K81" s="45"/>
      <c r="L81" s="46"/>
      <c r="M81" s="44"/>
      <c r="N81" s="45"/>
      <c r="O81" s="46"/>
      <c r="P81" s="44"/>
      <c r="Q81" s="44"/>
      <c r="R81" s="44"/>
      <c r="S81" s="44"/>
      <c r="T81" s="45"/>
      <c r="U81" s="47"/>
      <c r="V81" s="45"/>
      <c r="W81" s="47"/>
      <c r="X81" s="44"/>
      <c r="Y81" s="48"/>
      <c r="Z81" s="48"/>
      <c r="AA81" s="49"/>
      <c r="AB81" s="10"/>
      <c r="AC81" s="12"/>
    </row>
    <row r="82" spans="6:31" ht="16.5" customHeight="1">
      <c r="F82" s="2"/>
      <c r="G82" s="2"/>
      <c r="H82" s="2"/>
      <c r="I82" s="2"/>
      <c r="J82" s="7"/>
      <c r="K82" s="8"/>
      <c r="L82" s="3"/>
      <c r="M82" s="7"/>
      <c r="N82" s="8"/>
      <c r="O82" s="3"/>
      <c r="P82" s="7"/>
      <c r="Q82" s="164"/>
      <c r="R82" s="164"/>
      <c r="S82" s="164"/>
      <c r="T82" s="164"/>
      <c r="U82" s="164"/>
      <c r="V82" s="164"/>
      <c r="W82" s="164"/>
      <c r="X82" s="164"/>
      <c r="Y82" s="164"/>
      <c r="Z82" s="164"/>
      <c r="AA82" s="164"/>
      <c r="AB82" s="164"/>
      <c r="AC82" s="164"/>
      <c r="AD82" s="10"/>
      <c r="AE82" s="12"/>
    </row>
    <row r="83" spans="3:29" ht="16.5" customHeight="1">
      <c r="C83" s="41" t="s">
        <v>342</v>
      </c>
      <c r="F83" s="2"/>
      <c r="G83" s="13" t="s">
        <v>0</v>
      </c>
      <c r="H83" s="2" t="str">
        <f>IF('入力シート'!$E$7&lt;&gt;"",'入力シート'!$E$7,"")</f>
        <v>i-①　○○倉庫（東京都港区）－○△倉庫（横浜市）</v>
      </c>
      <c r="I83" s="2"/>
      <c r="J83" s="7"/>
      <c r="K83" s="8"/>
      <c r="L83" s="3"/>
      <c r="M83" s="7"/>
      <c r="N83" s="8"/>
      <c r="O83" s="3"/>
      <c r="P83" s="7"/>
      <c r="Q83" s="7"/>
      <c r="R83" s="7"/>
      <c r="S83" s="7"/>
      <c r="T83" s="8"/>
      <c r="U83" s="9"/>
      <c r="V83" s="8"/>
      <c r="W83" s="9"/>
      <c r="Y83" s="10"/>
      <c r="Z83" s="10"/>
      <c r="AA83" s="163"/>
      <c r="AB83" s="10"/>
      <c r="AC83" s="12"/>
    </row>
    <row r="84" spans="1:29" ht="15" customHeight="1" thickBot="1">
      <c r="A84" s="180" t="s">
        <v>209</v>
      </c>
      <c r="B84" s="180" t="s">
        <v>5</v>
      </c>
      <c r="C84" s="180" t="s">
        <v>210</v>
      </c>
      <c r="E84" s="223">
        <f>B85</f>
        <v>2665.4</v>
      </c>
      <c r="F84" s="2"/>
      <c r="I84" s="2"/>
      <c r="J84" s="14" t="s">
        <v>4</v>
      </c>
      <c r="K84" s="8"/>
      <c r="L84" s="3"/>
      <c r="M84" s="14" t="s">
        <v>5</v>
      </c>
      <c r="N84" s="8"/>
      <c r="O84" s="56" t="s">
        <v>141</v>
      </c>
      <c r="T84" s="8"/>
      <c r="U84" s="9"/>
      <c r="V84" s="8"/>
      <c r="W84" s="9"/>
      <c r="X84" s="14" t="s">
        <v>187</v>
      </c>
      <c r="Y84" s="10"/>
      <c r="Z84" s="10"/>
      <c r="AA84" s="163"/>
      <c r="AB84" s="10"/>
      <c r="AC84" s="12"/>
    </row>
    <row r="85" spans="1:29" ht="15" customHeight="1" thickBot="1" thickTop="1">
      <c r="A85">
        <f>'入力シート'!$H$15</f>
        <v>30</v>
      </c>
      <c r="B85">
        <f>'入力シート'!$H$17</f>
        <v>2665.4</v>
      </c>
      <c r="C85" t="str">
        <f>'入力シート'!$H$23</f>
        <v>軽油</v>
      </c>
      <c r="E85" s="183">
        <f>X85</f>
        <v>4.405172087607126</v>
      </c>
      <c r="F85" s="15"/>
      <c r="G85" s="195" t="str">
        <f>C85</f>
        <v>軽油</v>
      </c>
      <c r="H85" s="15"/>
      <c r="I85" s="50">
        <v>3</v>
      </c>
      <c r="J85" s="162">
        <f>A85</f>
        <v>30</v>
      </c>
      <c r="K85" s="4" t="s">
        <v>7</v>
      </c>
      <c r="L85" s="52">
        <v>4</v>
      </c>
      <c r="M85" s="162">
        <f>B85</f>
        <v>2665.4</v>
      </c>
      <c r="N85" s="4" t="s">
        <v>7</v>
      </c>
      <c r="O85" s="50">
        <v>10</v>
      </c>
      <c r="P85" s="160">
        <f>C87</f>
        <v>0.05509081923422535</v>
      </c>
      <c r="T85" s="53" t="s">
        <v>173</v>
      </c>
      <c r="U85" s="73" t="s">
        <v>174</v>
      </c>
      <c r="V85" s="53" t="s">
        <v>8</v>
      </c>
      <c r="W85" s="54">
        <v>31</v>
      </c>
      <c r="X85" s="55">
        <f>IF(ISERROR(J85*M85*P85/1000),0,J85*M85*P85/1000)</f>
        <v>4.405172087607126</v>
      </c>
      <c r="Y85" s="16"/>
      <c r="Z85" s="56"/>
      <c r="AA85" s="163"/>
      <c r="AB85" s="19"/>
      <c r="AC85" s="17"/>
    </row>
    <row r="86" spans="1:29" ht="15" customHeight="1" thickTop="1">
      <c r="A86" s="180" t="str">
        <f>'入力シート'!$F$24</f>
        <v>最大積載量（kg）</v>
      </c>
      <c r="B86" s="180" t="str">
        <f>'入力シート'!$F$25</f>
        <v>積載率(%)</v>
      </c>
      <c r="C86" s="180" t="str">
        <f>'入力シート'!$F$26</f>
        <v>燃料使用原単位</v>
      </c>
      <c r="D86" s="180" t="s">
        <v>6</v>
      </c>
      <c r="F86" s="20"/>
      <c r="G86" s="20"/>
      <c r="H86" s="20"/>
      <c r="I86" s="20"/>
      <c r="J86" s="170" t="s">
        <v>175</v>
      </c>
      <c r="K86" s="22"/>
      <c r="L86" s="23"/>
      <c r="M86" s="171" t="s">
        <v>178</v>
      </c>
      <c r="N86" s="22"/>
      <c r="O86" s="23"/>
      <c r="P86" s="169" t="s">
        <v>142</v>
      </c>
      <c r="T86" s="22"/>
      <c r="U86" s="58"/>
      <c r="V86" s="22"/>
      <c r="W86" s="58"/>
      <c r="X86" s="170" t="s">
        <v>192</v>
      </c>
      <c r="Y86" s="25"/>
      <c r="Z86" s="25"/>
      <c r="AA86" s="26"/>
      <c r="AB86" s="25"/>
      <c r="AC86" s="24"/>
    </row>
    <row r="87" spans="1:29" ht="15" customHeight="1">
      <c r="A87">
        <f>'入力シート'!$H$24</f>
        <v>10000</v>
      </c>
      <c r="B87" s="221">
        <f>'入力シート'!$H$25</f>
        <v>0.6</v>
      </c>
      <c r="C87">
        <f>'入力シート'!$H$29</f>
        <v>0.05509081923422535</v>
      </c>
      <c r="D87" s="183">
        <f>$E$7</f>
        <v>11.538232306558006</v>
      </c>
      <c r="F87" s="20"/>
      <c r="G87" s="20"/>
      <c r="H87" s="20"/>
      <c r="I87" s="20"/>
      <c r="J87" s="170"/>
      <c r="K87" s="22"/>
      <c r="L87" s="23"/>
      <c r="M87" s="171"/>
      <c r="N87" s="22"/>
      <c r="O87" s="23"/>
      <c r="P87" s="169"/>
      <c r="Q87" s="70"/>
      <c r="R87" s="70"/>
      <c r="S87" s="169"/>
      <c r="T87" s="22"/>
      <c r="U87" s="58"/>
      <c r="V87" s="22"/>
      <c r="W87" s="58"/>
      <c r="X87" s="169"/>
      <c r="Y87" s="25"/>
      <c r="Z87" s="25"/>
      <c r="AA87" s="26"/>
      <c r="AB87" s="25"/>
      <c r="AC87" s="24"/>
    </row>
    <row r="88" spans="3:29" ht="16.5" customHeight="1">
      <c r="C88" s="41" t="s">
        <v>352</v>
      </c>
      <c r="F88" s="2"/>
      <c r="G88" s="13" t="s">
        <v>0</v>
      </c>
      <c r="H88" s="2" t="str">
        <f>IF('入力シート'!$E$32&lt;&gt;"",'入力シート'!$E$32,"")</f>
        <v>i-②　○△倉庫（東京都港区）－■△産業㈱（横浜市）</v>
      </c>
      <c r="I88" s="2"/>
      <c r="J88" s="7"/>
      <c r="K88" s="8"/>
      <c r="L88" s="3"/>
      <c r="M88" s="7"/>
      <c r="N88" s="8"/>
      <c r="O88" s="3"/>
      <c r="P88" s="7"/>
      <c r="Q88" s="7"/>
      <c r="R88" s="7"/>
      <c r="S88" s="7"/>
      <c r="T88" s="8"/>
      <c r="U88" s="9"/>
      <c r="V88" s="8"/>
      <c r="W88" s="9"/>
      <c r="Y88" s="10"/>
      <c r="Z88" s="10"/>
      <c r="AA88" s="163"/>
      <c r="AB88" s="10"/>
      <c r="AC88" s="12"/>
    </row>
    <row r="89" spans="1:29" ht="15" customHeight="1" thickBot="1">
      <c r="A89" s="180" t="s">
        <v>209</v>
      </c>
      <c r="B89" s="180" t="s">
        <v>5</v>
      </c>
      <c r="C89" s="180" t="s">
        <v>210</v>
      </c>
      <c r="E89" s="223">
        <f>B90</f>
        <v>1407.2</v>
      </c>
      <c r="F89" s="2"/>
      <c r="I89" s="2"/>
      <c r="J89" s="14" t="s">
        <v>4</v>
      </c>
      <c r="K89" s="8"/>
      <c r="L89" s="3"/>
      <c r="M89" s="14" t="s">
        <v>5</v>
      </c>
      <c r="N89" s="8"/>
      <c r="O89" s="56" t="s">
        <v>141</v>
      </c>
      <c r="T89" s="8"/>
      <c r="U89" s="9"/>
      <c r="V89" s="8"/>
      <c r="W89" s="9"/>
      <c r="X89" s="14" t="s">
        <v>187</v>
      </c>
      <c r="Y89" s="10"/>
      <c r="Z89" s="10"/>
      <c r="AA89" s="163"/>
      <c r="AB89" s="10"/>
      <c r="AC89" s="12"/>
    </row>
    <row r="90" spans="1:29" ht="15" customHeight="1" thickBot="1" thickTop="1">
      <c r="A90">
        <f>'入力シート'!$H$40</f>
        <v>30</v>
      </c>
      <c r="B90">
        <f>'入力シート'!$H$42</f>
        <v>1407.2</v>
      </c>
      <c r="C90" t="str">
        <f>'入力シート'!$H$48</f>
        <v>軽油</v>
      </c>
      <c r="E90" s="183">
        <f>X90</f>
        <v>2.3257140247920574</v>
      </c>
      <c r="F90" s="15"/>
      <c r="G90" s="195" t="str">
        <f>C90</f>
        <v>軽油</v>
      </c>
      <c r="H90" s="15"/>
      <c r="I90" s="50">
        <v>3</v>
      </c>
      <c r="J90" s="162">
        <f>A90</f>
        <v>30</v>
      </c>
      <c r="K90" s="4" t="s">
        <v>7</v>
      </c>
      <c r="L90" s="52">
        <v>4</v>
      </c>
      <c r="M90" s="162">
        <f>B90</f>
        <v>1407.2</v>
      </c>
      <c r="N90" s="4" t="s">
        <v>7</v>
      </c>
      <c r="O90" s="50">
        <v>10</v>
      </c>
      <c r="P90" s="160">
        <f>C92</f>
        <v>0.05509081923422535</v>
      </c>
      <c r="T90" s="53" t="s">
        <v>173</v>
      </c>
      <c r="U90" s="73" t="s">
        <v>174</v>
      </c>
      <c r="V90" s="53" t="s">
        <v>8</v>
      </c>
      <c r="W90" s="54">
        <v>31</v>
      </c>
      <c r="X90" s="55">
        <f>IF(ISERROR(J90*M90*P90/1000),0,J90*M90*P90/1000)</f>
        <v>2.3257140247920574</v>
      </c>
      <c r="Y90" s="16"/>
      <c r="Z90" s="56"/>
      <c r="AA90" s="163"/>
      <c r="AB90" s="19"/>
      <c r="AC90" s="17"/>
    </row>
    <row r="91" spans="1:29" ht="15" customHeight="1" thickTop="1">
      <c r="A91" s="180" t="str">
        <f>'入力シート'!$F$49</f>
        <v>最大積載量（kg）</v>
      </c>
      <c r="B91" s="180" t="str">
        <f>'入力シート'!$F$50</f>
        <v>積載率(%)</v>
      </c>
      <c r="C91" s="180" t="str">
        <f>'入力シート'!$F$51</f>
        <v>燃料使用原単位</v>
      </c>
      <c r="D91" s="180" t="s">
        <v>6</v>
      </c>
      <c r="F91" s="20"/>
      <c r="G91" s="20"/>
      <c r="H91" s="20"/>
      <c r="I91" s="20"/>
      <c r="J91" s="170" t="s">
        <v>175</v>
      </c>
      <c r="K91" s="22"/>
      <c r="L91" s="23"/>
      <c r="M91" s="171" t="s">
        <v>178</v>
      </c>
      <c r="N91" s="22"/>
      <c r="O91" s="23"/>
      <c r="P91" s="169" t="s">
        <v>142</v>
      </c>
      <c r="T91" s="22"/>
      <c r="U91" s="58"/>
      <c r="V91" s="22"/>
      <c r="W91" s="58"/>
      <c r="X91" s="170" t="s">
        <v>192</v>
      </c>
      <c r="Y91" s="25"/>
      <c r="Z91" s="25"/>
      <c r="AA91" s="26"/>
      <c r="AB91" s="25"/>
      <c r="AC91" s="24"/>
    </row>
    <row r="92" spans="1:29" ht="15" customHeight="1">
      <c r="A92">
        <f>'入力シート'!$H$49</f>
        <v>10000</v>
      </c>
      <c r="B92" s="221">
        <f>'入力シート'!$H$50</f>
        <v>0.6</v>
      </c>
      <c r="C92">
        <f>'入力シート'!$H$54</f>
        <v>0.05509081923422535</v>
      </c>
      <c r="D92" s="183">
        <f>$E$12</f>
        <v>6.091618707056513</v>
      </c>
      <c r="F92" s="20"/>
      <c r="G92" s="20"/>
      <c r="H92" s="20"/>
      <c r="I92" s="20"/>
      <c r="J92" s="170"/>
      <c r="K92" s="22"/>
      <c r="L92" s="23"/>
      <c r="M92" s="171"/>
      <c r="N92" s="22"/>
      <c r="O92" s="23"/>
      <c r="P92" s="169"/>
      <c r="Q92" s="70"/>
      <c r="R92" s="70"/>
      <c r="S92" s="169"/>
      <c r="T92" s="22"/>
      <c r="U92" s="58"/>
      <c r="V92" s="22"/>
      <c r="W92" s="58"/>
      <c r="X92" s="169"/>
      <c r="Y92" s="25"/>
      <c r="Z92" s="25"/>
      <c r="AA92" s="26"/>
      <c r="AB92" s="25"/>
      <c r="AC92" s="24"/>
    </row>
    <row r="93" spans="3:29" ht="16.5" customHeight="1">
      <c r="C93" s="41" t="s">
        <v>352</v>
      </c>
      <c r="F93" s="2"/>
      <c r="G93" s="13" t="s">
        <v>0</v>
      </c>
      <c r="H93" s="2" t="str">
        <f>IF('入力シート'!$E$57&lt;&gt;"",'入力シート'!$E$57,"")</f>
        <v>i-③　○△倉庫（東京都港区）－■○物流センター（横浜市）</v>
      </c>
      <c r="I93" s="2"/>
      <c r="J93" s="7"/>
      <c r="K93" s="8"/>
      <c r="L93" s="3"/>
      <c r="M93" s="7"/>
      <c r="N93" s="8"/>
      <c r="O93" s="3"/>
      <c r="P93" s="7"/>
      <c r="Q93" s="7"/>
      <c r="R93" s="7"/>
      <c r="S93" s="7"/>
      <c r="T93" s="8"/>
      <c r="U93" s="9"/>
      <c r="V93" s="8"/>
      <c r="W93" s="9"/>
      <c r="Y93" s="10"/>
      <c r="Z93" s="10"/>
      <c r="AA93" s="163"/>
      <c r="AB93" s="10"/>
      <c r="AC93" s="12"/>
    </row>
    <row r="94" spans="1:29" ht="15" customHeight="1" thickBot="1">
      <c r="A94" s="180" t="s">
        <v>209</v>
      </c>
      <c r="B94" s="180" t="s">
        <v>5</v>
      </c>
      <c r="C94" s="180" t="s">
        <v>210</v>
      </c>
      <c r="E94" s="223">
        <f>B95</f>
        <v>2376</v>
      </c>
      <c r="F94" s="2"/>
      <c r="I94" s="2"/>
      <c r="J94" s="14" t="s">
        <v>4</v>
      </c>
      <c r="K94" s="8"/>
      <c r="L94" s="3"/>
      <c r="M94" s="14" t="s">
        <v>5</v>
      </c>
      <c r="N94" s="8"/>
      <c r="O94" s="56" t="s">
        <v>141</v>
      </c>
      <c r="T94" s="8"/>
      <c r="U94" s="9"/>
      <c r="V94" s="8"/>
      <c r="W94" s="9"/>
      <c r="X94" s="14" t="s">
        <v>187</v>
      </c>
      <c r="Y94" s="10"/>
      <c r="Z94" s="10"/>
      <c r="AA94" s="163"/>
      <c r="AB94" s="10"/>
      <c r="AC94" s="12"/>
    </row>
    <row r="95" spans="1:29" ht="15" customHeight="1" thickBot="1" thickTop="1">
      <c r="A95">
        <f>'入力シート'!$H$65</f>
        <v>30</v>
      </c>
      <c r="B95">
        <f>'入力シート'!$H$67</f>
        <v>2376</v>
      </c>
      <c r="C95" t="str">
        <f>'入力シート'!$H$73</f>
        <v>軽油</v>
      </c>
      <c r="E95" s="183">
        <f>X95</f>
        <v>3.9268735950155826</v>
      </c>
      <c r="F95" s="15"/>
      <c r="G95" s="195" t="str">
        <f>C95</f>
        <v>軽油</v>
      </c>
      <c r="H95" s="15"/>
      <c r="I95" s="50">
        <v>3</v>
      </c>
      <c r="J95" s="162">
        <f>A95</f>
        <v>30</v>
      </c>
      <c r="K95" s="4" t="s">
        <v>7</v>
      </c>
      <c r="L95" s="52">
        <v>4</v>
      </c>
      <c r="M95" s="162">
        <f>B95</f>
        <v>2376</v>
      </c>
      <c r="N95" s="4" t="s">
        <v>7</v>
      </c>
      <c r="O95" s="50">
        <v>10</v>
      </c>
      <c r="P95" s="160">
        <f>C97</f>
        <v>0.05509081923422535</v>
      </c>
      <c r="T95" s="53" t="s">
        <v>173</v>
      </c>
      <c r="U95" s="73" t="s">
        <v>174</v>
      </c>
      <c r="V95" s="53" t="s">
        <v>8</v>
      </c>
      <c r="W95" s="54">
        <v>31</v>
      </c>
      <c r="X95" s="55">
        <f>IF(ISERROR(J95*M95*P95/1000),0,J95*M95*P95/1000)</f>
        <v>3.9268735950155826</v>
      </c>
      <c r="Y95" s="16"/>
      <c r="Z95" s="56"/>
      <c r="AA95" s="163"/>
      <c r="AB95" s="19"/>
      <c r="AC95" s="17"/>
    </row>
    <row r="96" spans="1:29" ht="15" customHeight="1" thickTop="1">
      <c r="A96" s="180" t="str">
        <f>'入力シート'!$F$74</f>
        <v>最大積載量（kg）</v>
      </c>
      <c r="B96" s="180" t="str">
        <f>'入力シート'!$F$75</f>
        <v>積載率(%)</v>
      </c>
      <c r="C96" s="180" t="str">
        <f>'入力シート'!$F$76</f>
        <v>燃料使用原単位</v>
      </c>
      <c r="D96" s="180" t="s">
        <v>6</v>
      </c>
      <c r="F96" s="20"/>
      <c r="G96" s="20"/>
      <c r="H96" s="20"/>
      <c r="I96" s="20"/>
      <c r="J96" s="170" t="s">
        <v>175</v>
      </c>
      <c r="K96" s="22"/>
      <c r="L96" s="23"/>
      <c r="M96" s="171" t="s">
        <v>178</v>
      </c>
      <c r="N96" s="22"/>
      <c r="O96" s="23"/>
      <c r="P96" s="169" t="s">
        <v>142</v>
      </c>
      <c r="T96" s="22"/>
      <c r="U96" s="58"/>
      <c r="V96" s="22"/>
      <c r="W96" s="58"/>
      <c r="X96" s="170" t="s">
        <v>192</v>
      </c>
      <c r="Y96" s="25"/>
      <c r="Z96" s="25"/>
      <c r="AA96" s="26"/>
      <c r="AB96" s="25"/>
      <c r="AC96" s="24"/>
    </row>
    <row r="97" spans="1:29" ht="15" customHeight="1">
      <c r="A97">
        <f>'入力シート'!$H$74</f>
        <v>10000</v>
      </c>
      <c r="B97" s="221">
        <f>'入力シート'!$H$75</f>
        <v>0.6</v>
      </c>
      <c r="C97">
        <f>'入力シート'!$H$79</f>
        <v>0.05509081923422535</v>
      </c>
      <c r="D97" s="183">
        <f>$E$17</f>
        <v>10.285450574165914</v>
      </c>
      <c r="F97" s="20"/>
      <c r="G97" s="20"/>
      <c r="H97" s="20"/>
      <c r="I97" s="20"/>
      <c r="J97" s="170"/>
      <c r="K97" s="22"/>
      <c r="L97" s="23"/>
      <c r="M97" s="171"/>
      <c r="N97" s="22"/>
      <c r="O97" s="23"/>
      <c r="P97" s="169"/>
      <c r="Q97" s="70"/>
      <c r="R97" s="70"/>
      <c r="S97" s="169"/>
      <c r="T97" s="22"/>
      <c r="U97" s="58"/>
      <c r="V97" s="22"/>
      <c r="W97" s="58"/>
      <c r="X97" s="169"/>
      <c r="Y97" s="25"/>
      <c r="Z97" s="25"/>
      <c r="AA97" s="26"/>
      <c r="AB97" s="25"/>
      <c r="AC97" s="24"/>
    </row>
    <row r="98" spans="3:29" ht="16.5" customHeight="1">
      <c r="C98" s="41" t="s">
        <v>352</v>
      </c>
      <c r="F98" s="2"/>
      <c r="G98" s="13" t="s">
        <v>0</v>
      </c>
      <c r="H98" s="2" t="str">
        <f>IF('入力シート'!$E$82&lt;&gt;"",'入力シート'!$E$82,"")</f>
        <v>i-④　○△倉庫（東京都港区）－◎◎㈱横浜支店（横浜市）</v>
      </c>
      <c r="I98" s="2"/>
      <c r="J98" s="7"/>
      <c r="K98" s="8"/>
      <c r="L98" s="3"/>
      <c r="M98" s="7"/>
      <c r="N98" s="8"/>
      <c r="O98" s="3"/>
      <c r="P98" s="7"/>
      <c r="Q98" s="7"/>
      <c r="R98" s="7"/>
      <c r="S98" s="7"/>
      <c r="T98" s="8"/>
      <c r="U98" s="9"/>
      <c r="V98" s="8"/>
      <c r="W98" s="9"/>
      <c r="Y98" s="10"/>
      <c r="Z98" s="10"/>
      <c r="AA98" s="163"/>
      <c r="AB98" s="10"/>
      <c r="AC98" s="12"/>
    </row>
    <row r="99" spans="1:29" ht="15" customHeight="1" thickBot="1">
      <c r="A99" s="180" t="s">
        <v>209</v>
      </c>
      <c r="B99" s="180" t="s">
        <v>5</v>
      </c>
      <c r="C99" s="180" t="s">
        <v>210</v>
      </c>
      <c r="E99" s="223">
        <f>B100</f>
        <v>1542.2</v>
      </c>
      <c r="F99" s="2"/>
      <c r="I99" s="2"/>
      <c r="J99" s="14" t="s">
        <v>4</v>
      </c>
      <c r="K99" s="8"/>
      <c r="L99" s="3"/>
      <c r="M99" s="14" t="s">
        <v>5</v>
      </c>
      <c r="N99" s="8"/>
      <c r="O99" s="56" t="s">
        <v>141</v>
      </c>
      <c r="T99" s="8"/>
      <c r="U99" s="9"/>
      <c r="V99" s="8"/>
      <c r="W99" s="9"/>
      <c r="X99" s="14" t="s">
        <v>187</v>
      </c>
      <c r="Y99" s="10"/>
      <c r="Z99" s="10"/>
      <c r="AA99" s="163"/>
      <c r="AB99" s="10"/>
      <c r="AC99" s="12"/>
    </row>
    <row r="100" spans="1:29" ht="15" customHeight="1" thickBot="1" thickTop="1">
      <c r="A100">
        <f>'入力シート'!$H$90</f>
        <v>30</v>
      </c>
      <c r="B100">
        <f>'入力シート'!$H$92</f>
        <v>1542.2</v>
      </c>
      <c r="C100" t="str">
        <f>'入力シート'!$H$98</f>
        <v>軽油</v>
      </c>
      <c r="E100" s="183">
        <f>X100</f>
        <v>2.54883184269067</v>
      </c>
      <c r="F100" s="15"/>
      <c r="G100" s="195" t="str">
        <f>C100</f>
        <v>軽油</v>
      </c>
      <c r="H100" s="15"/>
      <c r="I100" s="50">
        <v>3</v>
      </c>
      <c r="J100" s="162">
        <f>A100</f>
        <v>30</v>
      </c>
      <c r="K100" s="4" t="s">
        <v>7</v>
      </c>
      <c r="L100" s="52">
        <v>4</v>
      </c>
      <c r="M100" s="162">
        <f>B100</f>
        <v>1542.2</v>
      </c>
      <c r="N100" s="4" t="s">
        <v>7</v>
      </c>
      <c r="O100" s="50">
        <v>10</v>
      </c>
      <c r="P100" s="160">
        <f>C102</f>
        <v>0.05509081923422535</v>
      </c>
      <c r="T100" s="53" t="s">
        <v>173</v>
      </c>
      <c r="U100" s="73" t="s">
        <v>174</v>
      </c>
      <c r="V100" s="53" t="s">
        <v>8</v>
      </c>
      <c r="W100" s="54">
        <v>31</v>
      </c>
      <c r="X100" s="55">
        <f>IF(ISERROR(J100*M100*P100/1000),0,J100*M100*P100/1000)</f>
        <v>2.54883184269067</v>
      </c>
      <c r="Y100" s="16"/>
      <c r="Z100" s="56"/>
      <c r="AA100" s="163"/>
      <c r="AB100" s="19"/>
      <c r="AC100" s="17"/>
    </row>
    <row r="101" spans="1:29" ht="15" customHeight="1" thickTop="1">
      <c r="A101" s="180" t="str">
        <f>'入力シート'!$F$99</f>
        <v>最大積載量（kg）</v>
      </c>
      <c r="B101" s="180" t="str">
        <f>'入力シート'!$F$100</f>
        <v>積載率(%)</v>
      </c>
      <c r="C101" s="180" t="str">
        <f>'入力シート'!$F$101</f>
        <v>燃料使用原単位</v>
      </c>
      <c r="D101" s="180" t="s">
        <v>6</v>
      </c>
      <c r="F101" s="20"/>
      <c r="G101" s="20"/>
      <c r="H101" s="20"/>
      <c r="I101" s="20"/>
      <c r="J101" s="170" t="s">
        <v>175</v>
      </c>
      <c r="K101" s="22"/>
      <c r="L101" s="23"/>
      <c r="M101" s="171" t="s">
        <v>178</v>
      </c>
      <c r="N101" s="22"/>
      <c r="O101" s="23"/>
      <c r="P101" s="169" t="s">
        <v>142</v>
      </c>
      <c r="T101" s="22"/>
      <c r="U101" s="58"/>
      <c r="V101" s="22"/>
      <c r="W101" s="58"/>
      <c r="X101" s="170" t="s">
        <v>192</v>
      </c>
      <c r="Y101" s="25"/>
      <c r="Z101" s="25"/>
      <c r="AA101" s="26"/>
      <c r="AB101" s="25"/>
      <c r="AC101" s="24"/>
    </row>
    <row r="102" spans="1:29" ht="15" customHeight="1">
      <c r="A102">
        <f>'入力シート'!$H$99</f>
        <v>10000</v>
      </c>
      <c r="B102" s="221">
        <f>'入力シート'!$H$100</f>
        <v>0.6</v>
      </c>
      <c r="C102">
        <f>'入力シート'!$H$104</f>
        <v>0.05509081923422535</v>
      </c>
      <c r="D102" s="183">
        <f>$E$22</f>
        <v>6.676019307861393</v>
      </c>
      <c r="F102" s="20"/>
      <c r="G102" s="20"/>
      <c r="H102" s="20"/>
      <c r="I102" s="20"/>
      <c r="J102" s="170"/>
      <c r="K102" s="22"/>
      <c r="L102" s="23"/>
      <c r="M102" s="171"/>
      <c r="N102" s="22"/>
      <c r="O102" s="23"/>
      <c r="P102" s="169"/>
      <c r="Q102" s="70"/>
      <c r="R102" s="70"/>
      <c r="S102" s="169"/>
      <c r="T102" s="22"/>
      <c r="U102" s="58"/>
      <c r="V102" s="22"/>
      <c r="W102" s="58"/>
      <c r="X102" s="169"/>
      <c r="Y102" s="25"/>
      <c r="Z102" s="25"/>
      <c r="AA102" s="26"/>
      <c r="AB102" s="25"/>
      <c r="AC102" s="24"/>
    </row>
    <row r="103" spans="3:29" ht="16.5" customHeight="1">
      <c r="C103" s="41" t="s">
        <v>352</v>
      </c>
      <c r="F103" s="2"/>
      <c r="G103" s="13" t="s">
        <v>0</v>
      </c>
      <c r="H103" s="2" t="str">
        <f>IF('入力シート'!$E$107&lt;&gt;"",'入力シート'!$E$107,"")</f>
        <v>ii-①　☆■倉庫（東京都港区）－○△倉庫（横浜市）</v>
      </c>
      <c r="I103" s="2"/>
      <c r="J103" s="7"/>
      <c r="K103" s="8"/>
      <c r="L103" s="3"/>
      <c r="M103" s="7"/>
      <c r="N103" s="8"/>
      <c r="O103" s="3"/>
      <c r="P103" s="7"/>
      <c r="Q103" s="7"/>
      <c r="R103" s="7"/>
      <c r="S103" s="7"/>
      <c r="T103" s="8"/>
      <c r="U103" s="9"/>
      <c r="V103" s="8"/>
      <c r="W103" s="9"/>
      <c r="Y103" s="10"/>
      <c r="Z103" s="10"/>
      <c r="AA103" s="163"/>
      <c r="AB103" s="10"/>
      <c r="AC103" s="12"/>
    </row>
    <row r="104" spans="1:29" ht="15" customHeight="1" thickBot="1">
      <c r="A104" s="180" t="s">
        <v>209</v>
      </c>
      <c r="B104" s="180" t="s">
        <v>5</v>
      </c>
      <c r="C104" s="180" t="s">
        <v>210</v>
      </c>
      <c r="E104" s="223">
        <f>B105</f>
        <v>214.9</v>
      </c>
      <c r="F104" s="2"/>
      <c r="I104" s="2"/>
      <c r="J104" s="14" t="s">
        <v>4</v>
      </c>
      <c r="K104" s="8"/>
      <c r="L104" s="3"/>
      <c r="M104" s="14" t="s">
        <v>5</v>
      </c>
      <c r="N104" s="8"/>
      <c r="O104" s="56" t="s">
        <v>141</v>
      </c>
      <c r="T104" s="8"/>
      <c r="U104" s="9"/>
      <c r="V104" s="8"/>
      <c r="W104" s="9"/>
      <c r="X104" s="14" t="s">
        <v>187</v>
      </c>
      <c r="Y104" s="10"/>
      <c r="Z104" s="10"/>
      <c r="AA104" s="163"/>
      <c r="AB104" s="10"/>
      <c r="AC104" s="12"/>
    </row>
    <row r="105" spans="1:29" ht="15" customHeight="1" thickBot="1" thickTop="1">
      <c r="A105">
        <f>'入力シート'!$H$115</f>
        <v>30</v>
      </c>
      <c r="B105">
        <f>'入力シート'!$H$117</f>
        <v>214.9</v>
      </c>
      <c r="C105" t="str">
        <f>'入力シート'!$H$123</f>
        <v>軽油</v>
      </c>
      <c r="E105" s="183">
        <f>X105</f>
        <v>0.8988262944681107</v>
      </c>
      <c r="F105" s="15"/>
      <c r="G105" s="195" t="str">
        <f>C105</f>
        <v>軽油</v>
      </c>
      <c r="H105" s="15"/>
      <c r="I105" s="50">
        <v>3</v>
      </c>
      <c r="J105" s="162">
        <f>A105</f>
        <v>30</v>
      </c>
      <c r="K105" s="4" t="s">
        <v>7</v>
      </c>
      <c r="L105" s="52">
        <v>4</v>
      </c>
      <c r="M105" s="162">
        <f>B105</f>
        <v>214.9</v>
      </c>
      <c r="N105" s="4" t="s">
        <v>7</v>
      </c>
      <c r="O105" s="50">
        <v>10</v>
      </c>
      <c r="P105" s="160">
        <f>C107</f>
        <v>0.1394177593404856</v>
      </c>
      <c r="T105" s="53" t="s">
        <v>173</v>
      </c>
      <c r="U105" s="73" t="s">
        <v>174</v>
      </c>
      <c r="V105" s="53" t="s">
        <v>8</v>
      </c>
      <c r="W105" s="54">
        <v>31</v>
      </c>
      <c r="X105" s="55">
        <f>IF(ISERROR(J105*M105*P105/1000),0,J105*M105*P105/1000)</f>
        <v>0.8988262944681107</v>
      </c>
      <c r="Y105" s="16"/>
      <c r="Z105" s="56"/>
      <c r="AA105" s="163"/>
      <c r="AB105" s="19"/>
      <c r="AC105" s="17"/>
    </row>
    <row r="106" spans="1:29" ht="15" customHeight="1" thickTop="1">
      <c r="A106" s="180" t="str">
        <f>'入力シート'!$F$124</f>
        <v>最大積載量（kg）</v>
      </c>
      <c r="B106" s="180" t="str">
        <f>'入力シート'!$F$125</f>
        <v>積載率(%)</v>
      </c>
      <c r="C106" s="180" t="str">
        <f>'入力シート'!$F$126</f>
        <v>燃料使用原単位</v>
      </c>
      <c r="D106" s="180" t="s">
        <v>6</v>
      </c>
      <c r="F106" s="20"/>
      <c r="G106" s="20"/>
      <c r="H106" s="20"/>
      <c r="I106" s="20"/>
      <c r="J106" s="170" t="s">
        <v>175</v>
      </c>
      <c r="K106" s="22"/>
      <c r="L106" s="23"/>
      <c r="M106" s="171" t="s">
        <v>178</v>
      </c>
      <c r="N106" s="22"/>
      <c r="O106" s="23"/>
      <c r="P106" s="169" t="s">
        <v>142</v>
      </c>
      <c r="T106" s="22"/>
      <c r="U106" s="58"/>
      <c r="V106" s="22"/>
      <c r="W106" s="58"/>
      <c r="X106" s="170" t="s">
        <v>192</v>
      </c>
      <c r="Y106" s="25"/>
      <c r="Z106" s="25"/>
      <c r="AA106" s="26"/>
      <c r="AB106" s="25"/>
      <c r="AC106" s="24"/>
    </row>
    <row r="107" spans="1:29" ht="15" customHeight="1">
      <c r="A107">
        <f>'入力シート'!$H$124</f>
        <v>4000</v>
      </c>
      <c r="B107" s="221">
        <f>'入力シート'!$H$125</f>
        <v>0.4</v>
      </c>
      <c r="C107">
        <f>'入力シート'!$H$129</f>
        <v>0.1394177593404856</v>
      </c>
      <c r="D107" s="183">
        <f>$E$27</f>
        <v>2.3542477756979503</v>
      </c>
      <c r="F107" s="20"/>
      <c r="G107" s="20"/>
      <c r="H107" s="20"/>
      <c r="I107" s="20"/>
      <c r="J107" s="170"/>
      <c r="K107" s="22"/>
      <c r="L107" s="23"/>
      <c r="M107" s="171"/>
      <c r="N107" s="22"/>
      <c r="O107" s="23"/>
      <c r="P107" s="169"/>
      <c r="Q107" s="70"/>
      <c r="R107" s="70"/>
      <c r="S107" s="169"/>
      <c r="T107" s="22"/>
      <c r="U107" s="58"/>
      <c r="V107" s="22"/>
      <c r="W107" s="58"/>
      <c r="X107" s="169"/>
      <c r="Y107" s="25"/>
      <c r="Z107" s="25"/>
      <c r="AA107" s="26"/>
      <c r="AB107" s="25"/>
      <c r="AC107" s="24"/>
    </row>
    <row r="108" spans="3:29" ht="16.5" customHeight="1">
      <c r="C108" s="41" t="s">
        <v>352</v>
      </c>
      <c r="F108" s="2"/>
      <c r="G108" s="13" t="s">
        <v>0</v>
      </c>
      <c r="H108" s="2" t="str">
        <f>IF('入力シート'!$E$132&lt;&gt;"",'入力シート'!$E$132,"")</f>
        <v>ii-②　☆■倉庫（東京都港区）－■△産業㈱（横浜市）</v>
      </c>
      <c r="I108" s="2"/>
      <c r="J108" s="7"/>
      <c r="K108" s="8"/>
      <c r="L108" s="3"/>
      <c r="M108" s="7"/>
      <c r="N108" s="8"/>
      <c r="O108" s="3"/>
      <c r="P108" s="7"/>
      <c r="Q108" s="7"/>
      <c r="R108" s="7"/>
      <c r="S108" s="7"/>
      <c r="T108" s="8"/>
      <c r="U108" s="9"/>
      <c r="V108" s="8"/>
      <c r="W108" s="9"/>
      <c r="Y108" s="10"/>
      <c r="Z108" s="10"/>
      <c r="AA108" s="163"/>
      <c r="AB108" s="10"/>
      <c r="AC108" s="12"/>
    </row>
    <row r="109" spans="1:29" ht="15" customHeight="1" thickBot="1">
      <c r="A109" s="180" t="s">
        <v>209</v>
      </c>
      <c r="B109" s="180" t="s">
        <v>5</v>
      </c>
      <c r="C109" s="180" t="s">
        <v>210</v>
      </c>
      <c r="E109" s="223">
        <f>B110</f>
        <v>253.8</v>
      </c>
      <c r="F109" s="2"/>
      <c r="I109" s="2"/>
      <c r="J109" s="14" t="s">
        <v>4</v>
      </c>
      <c r="K109" s="8"/>
      <c r="L109" s="3"/>
      <c r="M109" s="14" t="s">
        <v>5</v>
      </c>
      <c r="N109" s="8"/>
      <c r="O109" s="56" t="s">
        <v>141</v>
      </c>
      <c r="T109" s="8"/>
      <c r="U109" s="9"/>
      <c r="V109" s="8"/>
      <c r="W109" s="9"/>
      <c r="X109" s="14" t="s">
        <v>187</v>
      </c>
      <c r="Y109" s="10"/>
      <c r="Z109" s="10"/>
      <c r="AA109" s="163"/>
      <c r="AB109" s="10"/>
      <c r="AC109" s="12"/>
    </row>
    <row r="110" spans="1:29" ht="15" customHeight="1" thickBot="1" thickTop="1">
      <c r="A110">
        <f>'入力シート'!$H$140</f>
        <v>30</v>
      </c>
      <c r="B110">
        <f>'入力シート'!$H$142</f>
        <v>253.8</v>
      </c>
      <c r="C110" t="str">
        <f>'入力シート'!$H$148</f>
        <v>軽油</v>
      </c>
      <c r="E110" s="183">
        <f>X110</f>
        <v>1.0615268196184573</v>
      </c>
      <c r="F110" s="15"/>
      <c r="G110" s="195" t="str">
        <f>C110</f>
        <v>軽油</v>
      </c>
      <c r="H110" s="15"/>
      <c r="I110" s="50">
        <v>3</v>
      </c>
      <c r="J110" s="162">
        <f>A110</f>
        <v>30</v>
      </c>
      <c r="K110" s="4" t="s">
        <v>7</v>
      </c>
      <c r="L110" s="52">
        <v>4</v>
      </c>
      <c r="M110" s="162">
        <f>B110</f>
        <v>253.8</v>
      </c>
      <c r="N110" s="4" t="s">
        <v>7</v>
      </c>
      <c r="O110" s="50">
        <v>10</v>
      </c>
      <c r="P110" s="160">
        <f>C112</f>
        <v>0.1394177593404856</v>
      </c>
      <c r="T110" s="53" t="s">
        <v>173</v>
      </c>
      <c r="U110" s="73" t="s">
        <v>174</v>
      </c>
      <c r="V110" s="53" t="s">
        <v>8</v>
      </c>
      <c r="W110" s="54">
        <v>31</v>
      </c>
      <c r="X110" s="55">
        <f>IF(ISERROR(J110*M110*P110/1000),0,J110*M110*P110/1000)</f>
        <v>1.0615268196184573</v>
      </c>
      <c r="Y110" s="16"/>
      <c r="Z110" s="56"/>
      <c r="AA110" s="163"/>
      <c r="AB110" s="19"/>
      <c r="AC110" s="17"/>
    </row>
    <row r="111" spans="1:29" ht="15" customHeight="1" thickTop="1">
      <c r="A111" s="180" t="str">
        <f>'入力シート'!$F$149</f>
        <v>最大積載量（kg）</v>
      </c>
      <c r="B111" s="180" t="str">
        <f>'入力シート'!$F$150</f>
        <v>積載率(%)</v>
      </c>
      <c r="C111" s="180" t="str">
        <f>'入力シート'!$F$151</f>
        <v>燃料使用原単位</v>
      </c>
      <c r="D111" s="180" t="s">
        <v>6</v>
      </c>
      <c r="F111" s="20"/>
      <c r="G111" s="20"/>
      <c r="H111" s="20"/>
      <c r="I111" s="20"/>
      <c r="J111" s="170" t="s">
        <v>175</v>
      </c>
      <c r="K111" s="22"/>
      <c r="L111" s="23"/>
      <c r="M111" s="171" t="s">
        <v>178</v>
      </c>
      <c r="N111" s="22"/>
      <c r="O111" s="23"/>
      <c r="P111" s="169" t="s">
        <v>142</v>
      </c>
      <c r="T111" s="22"/>
      <c r="U111" s="58"/>
      <c r="V111" s="22"/>
      <c r="W111" s="58"/>
      <c r="X111" s="170" t="s">
        <v>192</v>
      </c>
      <c r="Y111" s="25"/>
      <c r="Z111" s="25"/>
      <c r="AA111" s="26"/>
      <c r="AB111" s="25"/>
      <c r="AC111" s="24"/>
    </row>
    <row r="112" spans="1:29" ht="15" customHeight="1">
      <c r="A112">
        <f>'入力シート'!$H$149</f>
        <v>4000</v>
      </c>
      <c r="B112" s="221">
        <f>'入力シート'!$H$150</f>
        <v>0.4</v>
      </c>
      <c r="C112">
        <f>'入力シート'!$H$154</f>
        <v>0.1394177593404856</v>
      </c>
      <c r="D112" s="183">
        <f>$E$32</f>
        <v>2.780400583862912</v>
      </c>
      <c r="F112" s="20"/>
      <c r="G112" s="20"/>
      <c r="H112" s="20"/>
      <c r="I112" s="20"/>
      <c r="J112" s="170"/>
      <c r="K112" s="22"/>
      <c r="L112" s="23"/>
      <c r="M112" s="171"/>
      <c r="N112" s="22"/>
      <c r="O112" s="23"/>
      <c r="P112" s="169"/>
      <c r="Q112" s="70"/>
      <c r="R112" s="70"/>
      <c r="S112" s="169"/>
      <c r="T112" s="22"/>
      <c r="U112" s="58"/>
      <c r="V112" s="22"/>
      <c r="W112" s="58"/>
      <c r="X112" s="169"/>
      <c r="Y112" s="25"/>
      <c r="Z112" s="25"/>
      <c r="AA112" s="26"/>
      <c r="AB112" s="25"/>
      <c r="AC112" s="24"/>
    </row>
    <row r="113" spans="3:29" ht="16.5" customHeight="1">
      <c r="C113" s="41" t="s">
        <v>352</v>
      </c>
      <c r="F113" s="2"/>
      <c r="G113" s="13" t="s">
        <v>0</v>
      </c>
      <c r="H113" s="2" t="str">
        <f>IF('入力シート'!$E$157&lt;&gt;"",'入力シート'!$E$157,"")</f>
        <v>ii-③　☆■倉庫（東京都港区）－■○物流センター（横浜市）</v>
      </c>
      <c r="I113" s="2"/>
      <c r="J113" s="7"/>
      <c r="K113" s="8"/>
      <c r="L113" s="3"/>
      <c r="M113" s="7"/>
      <c r="N113" s="8"/>
      <c r="O113" s="3"/>
      <c r="P113" s="7"/>
      <c r="Q113" s="7"/>
      <c r="R113" s="7"/>
      <c r="S113" s="7"/>
      <c r="T113" s="8"/>
      <c r="U113" s="9"/>
      <c r="V113" s="8"/>
      <c r="W113" s="9"/>
      <c r="Y113" s="10"/>
      <c r="Z113" s="10"/>
      <c r="AA113" s="163"/>
      <c r="AB113" s="10"/>
      <c r="AC113" s="12"/>
    </row>
    <row r="114" spans="1:29" ht="15" customHeight="1" thickBot="1">
      <c r="A114" s="180" t="s">
        <v>209</v>
      </c>
      <c r="B114" s="180" t="s">
        <v>5</v>
      </c>
      <c r="C114" s="180" t="s">
        <v>210</v>
      </c>
      <c r="E114" s="223">
        <f>B115</f>
        <v>491.4</v>
      </c>
      <c r="F114" s="2"/>
      <c r="I114" s="2"/>
      <c r="J114" s="14" t="s">
        <v>4</v>
      </c>
      <c r="K114" s="8"/>
      <c r="L114" s="3"/>
      <c r="M114" s="14" t="s">
        <v>5</v>
      </c>
      <c r="N114" s="8"/>
      <c r="O114" s="56" t="s">
        <v>141</v>
      </c>
      <c r="T114" s="8"/>
      <c r="U114" s="9"/>
      <c r="V114" s="8"/>
      <c r="W114" s="9"/>
      <c r="X114" s="14" t="s">
        <v>187</v>
      </c>
      <c r="Y114" s="10"/>
      <c r="Z114" s="10"/>
      <c r="AA114" s="163"/>
      <c r="AB114" s="10"/>
      <c r="AC114" s="12"/>
    </row>
    <row r="115" spans="1:29" ht="15" customHeight="1" thickBot="1" thickTop="1">
      <c r="A115">
        <f>'入力シート'!$H$165</f>
        <v>30</v>
      </c>
      <c r="B115">
        <f>'入力シート'!$H$167</f>
        <v>491.4</v>
      </c>
      <c r="C115" t="str">
        <f>'入力シート'!$H$173</f>
        <v>軽油</v>
      </c>
      <c r="E115" s="183">
        <f>X115</f>
        <v>2.055296608197439</v>
      </c>
      <c r="F115" s="15"/>
      <c r="G115" s="195" t="str">
        <f>C115</f>
        <v>軽油</v>
      </c>
      <c r="H115" s="15"/>
      <c r="I115" s="50">
        <v>3</v>
      </c>
      <c r="J115" s="162">
        <f>A115</f>
        <v>30</v>
      </c>
      <c r="K115" s="4" t="s">
        <v>7</v>
      </c>
      <c r="L115" s="52">
        <v>4</v>
      </c>
      <c r="M115" s="162">
        <f>B115</f>
        <v>491.4</v>
      </c>
      <c r="N115" s="4" t="s">
        <v>7</v>
      </c>
      <c r="O115" s="50">
        <v>10</v>
      </c>
      <c r="P115" s="160">
        <f>C117</f>
        <v>0.1394177593404856</v>
      </c>
      <c r="T115" s="53" t="s">
        <v>173</v>
      </c>
      <c r="U115" s="73" t="s">
        <v>174</v>
      </c>
      <c r="V115" s="53" t="s">
        <v>8</v>
      </c>
      <c r="W115" s="54">
        <v>31</v>
      </c>
      <c r="X115" s="55">
        <f>IF(ISERROR(J115*M115*P115/1000),0,J115*M115*P115/1000)</f>
        <v>2.055296608197439</v>
      </c>
      <c r="Y115" s="16"/>
      <c r="Z115" s="56"/>
      <c r="AA115" s="163"/>
      <c r="AB115" s="19"/>
      <c r="AC115" s="17"/>
    </row>
    <row r="116" spans="1:29" ht="15" customHeight="1" thickTop="1">
      <c r="A116" s="180" t="str">
        <f>'入力シート'!$F$174</f>
        <v>最大積載量（kg）</v>
      </c>
      <c r="B116" s="180" t="str">
        <f>'入力シート'!$F$175</f>
        <v>積載率(%)</v>
      </c>
      <c r="C116" s="180" t="str">
        <f>'入力シート'!$F$176</f>
        <v>燃料使用原単位</v>
      </c>
      <c r="D116" s="180" t="s">
        <v>6</v>
      </c>
      <c r="F116" s="20"/>
      <c r="G116" s="20"/>
      <c r="H116" s="20"/>
      <c r="I116" s="20"/>
      <c r="J116" s="170" t="s">
        <v>175</v>
      </c>
      <c r="K116" s="22"/>
      <c r="L116" s="23"/>
      <c r="M116" s="171" t="s">
        <v>178</v>
      </c>
      <c r="N116" s="22"/>
      <c r="O116" s="23"/>
      <c r="P116" s="169" t="s">
        <v>142</v>
      </c>
      <c r="T116" s="22"/>
      <c r="U116" s="58"/>
      <c r="V116" s="22"/>
      <c r="W116" s="58"/>
      <c r="X116" s="170" t="s">
        <v>192</v>
      </c>
      <c r="Y116" s="25"/>
      <c r="Z116" s="25"/>
      <c r="AA116" s="26"/>
      <c r="AB116" s="25"/>
      <c r="AC116" s="24"/>
    </row>
    <row r="117" spans="1:29" ht="15" customHeight="1">
      <c r="A117">
        <f>'入力シート'!$H$174</f>
        <v>4000</v>
      </c>
      <c r="B117" s="221">
        <f>'入力シート'!$H$175</f>
        <v>0.4</v>
      </c>
      <c r="C117">
        <f>'入力シート'!$H$179</f>
        <v>0.1394177593404856</v>
      </c>
      <c r="D117" s="183">
        <f>$E$37</f>
        <v>5.383328790032447</v>
      </c>
      <c r="F117" s="20"/>
      <c r="G117" s="20"/>
      <c r="H117" s="20"/>
      <c r="I117" s="20"/>
      <c r="J117" s="170"/>
      <c r="K117" s="22"/>
      <c r="L117" s="23"/>
      <c r="M117" s="171"/>
      <c r="N117" s="22"/>
      <c r="O117" s="23"/>
      <c r="P117" s="169"/>
      <c r="Q117" s="70"/>
      <c r="R117" s="70"/>
      <c r="S117" s="169"/>
      <c r="T117" s="22"/>
      <c r="U117" s="58"/>
      <c r="V117" s="22"/>
      <c r="W117" s="58"/>
      <c r="X117" s="169"/>
      <c r="Y117" s="25"/>
      <c r="Z117" s="25"/>
      <c r="AA117" s="26"/>
      <c r="AB117" s="25"/>
      <c r="AC117" s="24"/>
    </row>
    <row r="118" spans="3:29" ht="16.5" customHeight="1">
      <c r="C118" s="41" t="s">
        <v>352</v>
      </c>
      <c r="F118" s="2"/>
      <c r="G118" s="13" t="s">
        <v>0</v>
      </c>
      <c r="H118" s="2" t="str">
        <f>IF('入力シート'!$E$182&lt;&gt;"",'入力シート'!$E$182,"")</f>
        <v>ii-④　☆■倉庫（東京都港区）－◎◎㈱横浜支店（横浜市）</v>
      </c>
      <c r="I118" s="2"/>
      <c r="J118" s="7"/>
      <c r="K118" s="8"/>
      <c r="L118" s="3"/>
      <c r="M118" s="7"/>
      <c r="N118" s="8"/>
      <c r="O118" s="3"/>
      <c r="P118" s="7"/>
      <c r="Q118" s="7"/>
      <c r="R118" s="7"/>
      <c r="S118" s="7"/>
      <c r="T118" s="8"/>
      <c r="U118" s="9"/>
      <c r="V118" s="8"/>
      <c r="W118" s="9"/>
      <c r="Y118" s="10"/>
      <c r="Z118" s="10"/>
      <c r="AA118" s="163"/>
      <c r="AB118" s="10"/>
      <c r="AC118" s="12"/>
    </row>
    <row r="119" spans="1:29" ht="15" customHeight="1" thickBot="1">
      <c r="A119" s="180" t="s">
        <v>209</v>
      </c>
      <c r="B119" s="180" t="s">
        <v>5</v>
      </c>
      <c r="C119" s="180" t="s">
        <v>210</v>
      </c>
      <c r="E119" s="223">
        <f>B120</f>
        <v>83.2</v>
      </c>
      <c r="F119" s="2"/>
      <c r="I119" s="2"/>
      <c r="J119" s="14" t="s">
        <v>4</v>
      </c>
      <c r="K119" s="8"/>
      <c r="L119" s="3"/>
      <c r="M119" s="14" t="s">
        <v>5</v>
      </c>
      <c r="N119" s="8"/>
      <c r="O119" s="56" t="s">
        <v>141</v>
      </c>
      <c r="T119" s="8"/>
      <c r="U119" s="9"/>
      <c r="V119" s="8"/>
      <c r="W119" s="9"/>
      <c r="X119" s="14" t="s">
        <v>187</v>
      </c>
      <c r="Y119" s="10"/>
      <c r="Z119" s="10"/>
      <c r="AA119" s="163"/>
      <c r="AB119" s="10"/>
      <c r="AC119" s="12"/>
    </row>
    <row r="120" spans="1:29" ht="15" customHeight="1" thickBot="1" thickTop="1">
      <c r="A120">
        <f>'入力シート'!$H$190</f>
        <v>30</v>
      </c>
      <c r="B120">
        <f>'入力シート'!$H$192</f>
        <v>83.2</v>
      </c>
      <c r="C120" t="str">
        <f>'入力シート'!$H$198</f>
        <v>軽油</v>
      </c>
      <c r="E120" s="183">
        <f>X120</f>
        <v>0.34798672731385205</v>
      </c>
      <c r="F120" s="15"/>
      <c r="G120" s="195" t="str">
        <f>C120</f>
        <v>軽油</v>
      </c>
      <c r="H120" s="15"/>
      <c r="I120" s="50">
        <v>3</v>
      </c>
      <c r="J120" s="162">
        <f>A120</f>
        <v>30</v>
      </c>
      <c r="K120" s="4" t="s">
        <v>7</v>
      </c>
      <c r="L120" s="52">
        <v>4</v>
      </c>
      <c r="M120" s="162">
        <f>B120</f>
        <v>83.2</v>
      </c>
      <c r="N120" s="4" t="s">
        <v>7</v>
      </c>
      <c r="O120" s="50">
        <v>10</v>
      </c>
      <c r="P120" s="160">
        <f>C122</f>
        <v>0.1394177593404856</v>
      </c>
      <c r="T120" s="53" t="s">
        <v>173</v>
      </c>
      <c r="U120" s="73" t="s">
        <v>174</v>
      </c>
      <c r="V120" s="53" t="s">
        <v>8</v>
      </c>
      <c r="W120" s="54">
        <v>31</v>
      </c>
      <c r="X120" s="55">
        <f>IF(ISERROR(J120*M120*P120/1000),0,J120*M120*P120/1000)</f>
        <v>0.34798672731385205</v>
      </c>
      <c r="Y120" s="16"/>
      <c r="Z120" s="56"/>
      <c r="AA120" s="163"/>
      <c r="AB120" s="19"/>
      <c r="AC120" s="17"/>
    </row>
    <row r="121" spans="1:29" ht="15" customHeight="1" thickTop="1">
      <c r="A121" s="180" t="str">
        <f>'入力シート'!$F$199</f>
        <v>最大積載量（kg）</v>
      </c>
      <c r="B121" s="180" t="str">
        <f>'入力シート'!$F$200</f>
        <v>積載率(%)</v>
      </c>
      <c r="C121" s="180" t="str">
        <f>'入力シート'!$F$201</f>
        <v>燃料使用原単位</v>
      </c>
      <c r="D121" s="180" t="s">
        <v>6</v>
      </c>
      <c r="F121" s="20"/>
      <c r="G121" s="20"/>
      <c r="H121" s="20"/>
      <c r="I121" s="20"/>
      <c r="J121" s="170" t="s">
        <v>175</v>
      </c>
      <c r="K121" s="22"/>
      <c r="L121" s="23"/>
      <c r="M121" s="171" t="s">
        <v>178</v>
      </c>
      <c r="N121" s="22"/>
      <c r="O121" s="23"/>
      <c r="P121" s="169" t="s">
        <v>142</v>
      </c>
      <c r="T121" s="22"/>
      <c r="U121" s="58"/>
      <c r="V121" s="22"/>
      <c r="W121" s="58"/>
      <c r="X121" s="170" t="s">
        <v>192</v>
      </c>
      <c r="Y121" s="25"/>
      <c r="Z121" s="25"/>
      <c r="AA121" s="26"/>
      <c r="AB121" s="25"/>
      <c r="AC121" s="24"/>
    </row>
    <row r="122" spans="1:29" ht="15" customHeight="1">
      <c r="A122">
        <f>'入力シート'!$H$199</f>
        <v>4000</v>
      </c>
      <c r="B122" s="221">
        <f>'入力シート'!$H$200</f>
        <v>0.4</v>
      </c>
      <c r="C122">
        <f>'入力シート'!$H$204</f>
        <v>0.1394177593404856</v>
      </c>
      <c r="D122" s="183">
        <f>$E$42</f>
        <v>0.9114630755610491</v>
      </c>
      <c r="F122" s="20"/>
      <c r="G122" s="20"/>
      <c r="H122" s="20"/>
      <c r="I122" s="20"/>
      <c r="J122" s="170"/>
      <c r="K122" s="22"/>
      <c r="L122" s="23"/>
      <c r="M122" s="171"/>
      <c r="N122" s="22"/>
      <c r="O122" s="23"/>
      <c r="P122" s="169"/>
      <c r="Q122" s="70"/>
      <c r="R122" s="70"/>
      <c r="S122" s="169"/>
      <c r="T122" s="22"/>
      <c r="U122" s="58"/>
      <c r="V122" s="22"/>
      <c r="W122" s="58"/>
      <c r="X122" s="169"/>
      <c r="Y122" s="25"/>
      <c r="Z122" s="25"/>
      <c r="AA122" s="26"/>
      <c r="AB122" s="25"/>
      <c r="AC122" s="24"/>
    </row>
    <row r="123" spans="1:29" ht="16.5" customHeight="1">
      <c r="A123" s="44"/>
      <c r="B123" s="44"/>
      <c r="C123" s="222" t="s">
        <v>340</v>
      </c>
      <c r="D123" s="44">
        <f>SUMIF($B$82:$B$123,"貨物量",$E$82:$E$123)</f>
        <v>9034.1</v>
      </c>
      <c r="E123" s="2" t="s">
        <v>3</v>
      </c>
      <c r="F123" s="2"/>
      <c r="G123" s="13"/>
      <c r="H123" s="1"/>
      <c r="I123" s="1"/>
      <c r="J123" s="7"/>
      <c r="K123" s="8"/>
      <c r="L123" s="3"/>
      <c r="M123" s="7"/>
      <c r="N123" s="8"/>
      <c r="O123" s="3"/>
      <c r="P123" s="7"/>
      <c r="Q123" s="7"/>
      <c r="R123" s="7"/>
      <c r="S123" s="7"/>
      <c r="T123" s="8"/>
      <c r="U123" s="9"/>
      <c r="V123" s="8"/>
      <c r="W123" s="9"/>
      <c r="X123" s="7"/>
      <c r="Y123" s="10"/>
      <c r="Z123" s="10"/>
      <c r="AA123" s="11"/>
      <c r="AB123" s="10"/>
      <c r="AC123" s="12"/>
    </row>
    <row r="124" spans="6:29" ht="14.25">
      <c r="F124" s="41" t="s">
        <v>241</v>
      </c>
      <c r="G124" s="42"/>
      <c r="H124" s="43"/>
      <c r="I124" s="43"/>
      <c r="J124" s="44"/>
      <c r="K124" s="45"/>
      <c r="L124" s="46"/>
      <c r="M124" s="44"/>
      <c r="N124" s="45"/>
      <c r="O124" s="46"/>
      <c r="P124" s="44"/>
      <c r="Q124" s="44"/>
      <c r="R124" s="44"/>
      <c r="S124" s="44"/>
      <c r="T124" s="45"/>
      <c r="U124" s="47"/>
      <c r="V124" s="45"/>
      <c r="W124" s="47"/>
      <c r="X124" s="44"/>
      <c r="Y124" s="48"/>
      <c r="Z124" s="48"/>
      <c r="AA124" s="49"/>
      <c r="AB124" s="10"/>
      <c r="AC124" s="12"/>
    </row>
    <row r="125" spans="6:31" ht="16.5" customHeight="1">
      <c r="F125" s="2"/>
      <c r="G125" s="2"/>
      <c r="H125" s="2"/>
      <c r="I125" s="2"/>
      <c r="J125" s="7"/>
      <c r="K125" s="8"/>
      <c r="L125" s="3"/>
      <c r="M125" s="7"/>
      <c r="N125" s="8"/>
      <c r="O125" s="3"/>
      <c r="P125" s="7"/>
      <c r="Q125" s="164"/>
      <c r="R125" s="164"/>
      <c r="S125" s="164"/>
      <c r="T125" s="164"/>
      <c r="U125" s="164"/>
      <c r="V125" s="164"/>
      <c r="W125" s="164"/>
      <c r="X125" s="164"/>
      <c r="Y125" s="164"/>
      <c r="Z125" s="164"/>
      <c r="AA125" s="164"/>
      <c r="AB125" s="164"/>
      <c r="AC125" s="164"/>
      <c r="AD125" s="10"/>
      <c r="AE125" s="12"/>
    </row>
    <row r="126" spans="3:29" ht="16.5" customHeight="1">
      <c r="C126" s="41" t="s">
        <v>352</v>
      </c>
      <c r="F126" s="2"/>
      <c r="G126" s="13" t="s">
        <v>0</v>
      </c>
      <c r="H126" s="2" t="str">
        <f>IF('入力シート'!$E$209&lt;&gt;"",'入力シート'!$E$209,"")</f>
        <v>i-①　新物流センター（東京都港区）－○△倉庫＆■△産業（横浜市）</v>
      </c>
      <c r="I126" s="2"/>
      <c r="J126" s="7"/>
      <c r="K126" s="8"/>
      <c r="L126" s="3"/>
      <c r="M126" s="7"/>
      <c r="N126" s="8"/>
      <c r="O126" s="3"/>
      <c r="P126" s="7"/>
      <c r="Q126" s="7"/>
      <c r="R126" s="7"/>
      <c r="S126" s="7"/>
      <c r="T126" s="8"/>
      <c r="U126" s="9"/>
      <c r="V126" s="8"/>
      <c r="W126" s="9"/>
      <c r="Y126" s="10"/>
      <c r="Z126" s="10"/>
      <c r="AA126" s="163"/>
      <c r="AB126" s="10"/>
      <c r="AC126" s="12"/>
    </row>
    <row r="127" spans="1:29" ht="15" customHeight="1" thickBot="1">
      <c r="A127" s="180" t="s">
        <v>209</v>
      </c>
      <c r="B127" s="180" t="s">
        <v>5</v>
      </c>
      <c r="C127" s="180" t="s">
        <v>210</v>
      </c>
      <c r="E127" s="223">
        <f>B128</f>
        <v>4541.3</v>
      </c>
      <c r="F127" s="2"/>
      <c r="I127" s="2"/>
      <c r="J127" s="14" t="s">
        <v>4</v>
      </c>
      <c r="K127" s="8"/>
      <c r="L127" s="3"/>
      <c r="M127" s="14" t="s">
        <v>5</v>
      </c>
      <c r="N127" s="8"/>
      <c r="O127" s="56" t="s">
        <v>141</v>
      </c>
      <c r="T127" s="8"/>
      <c r="U127" s="9"/>
      <c r="V127" s="8"/>
      <c r="W127" s="9"/>
      <c r="X127" s="14" t="s">
        <v>187</v>
      </c>
      <c r="Y127" s="10"/>
      <c r="Z127" s="10"/>
      <c r="AA127" s="163"/>
      <c r="AB127" s="10"/>
      <c r="AC127" s="12"/>
    </row>
    <row r="128" spans="1:29" ht="15" customHeight="1" thickBot="1" thickTop="1">
      <c r="A128">
        <f>'入力シート'!$H$217</f>
        <v>30</v>
      </c>
      <c r="B128">
        <f>'入力シート'!$H$219</f>
        <v>4541.3</v>
      </c>
      <c r="C128" t="str">
        <f>'入力シート'!$H$225</f>
        <v>軽油</v>
      </c>
      <c r="E128" s="183">
        <f>X128</f>
        <v>3.776215813495402</v>
      </c>
      <c r="F128" s="15"/>
      <c r="G128" s="195" t="str">
        <f>C128</f>
        <v>軽油</v>
      </c>
      <c r="H128" s="15"/>
      <c r="I128" s="50">
        <v>3</v>
      </c>
      <c r="J128" s="162">
        <f>A128</f>
        <v>30</v>
      </c>
      <c r="K128" s="4" t="s">
        <v>7</v>
      </c>
      <c r="L128" s="52">
        <v>4</v>
      </c>
      <c r="M128" s="162">
        <f>B128</f>
        <v>4541.3</v>
      </c>
      <c r="N128" s="4" t="s">
        <v>7</v>
      </c>
      <c r="O128" s="50">
        <v>10</v>
      </c>
      <c r="P128" s="160">
        <f>C130</f>
        <v>0.027717583169983646</v>
      </c>
      <c r="T128" s="53" t="s">
        <v>173</v>
      </c>
      <c r="U128" s="73" t="s">
        <v>174</v>
      </c>
      <c r="V128" s="53" t="s">
        <v>8</v>
      </c>
      <c r="W128" s="54">
        <v>31</v>
      </c>
      <c r="X128" s="55">
        <f>IF(ISERROR(J128*M128*P128/1000),0,J128*M128*P128/1000)</f>
        <v>3.776215813495402</v>
      </c>
      <c r="Y128" s="16"/>
      <c r="Z128" s="56"/>
      <c r="AA128" s="163"/>
      <c r="AB128" s="19"/>
      <c r="AC128" s="17"/>
    </row>
    <row r="129" spans="1:29" ht="15" customHeight="1" thickTop="1">
      <c r="A129" s="180" t="str">
        <f>'入力シート'!$F$226</f>
        <v>最大積載量（kg）</v>
      </c>
      <c r="B129" s="180" t="str">
        <f>'入力シート'!$F$227</f>
        <v>積載率(%)</v>
      </c>
      <c r="C129" s="180" t="str">
        <f>'入力シート'!$F$228</f>
        <v>燃料使用原単位</v>
      </c>
      <c r="D129" s="180" t="s">
        <v>6</v>
      </c>
      <c r="F129" s="20"/>
      <c r="G129" s="20"/>
      <c r="H129" s="20"/>
      <c r="I129" s="20"/>
      <c r="J129" s="170" t="s">
        <v>175</v>
      </c>
      <c r="K129" s="22"/>
      <c r="L129" s="23"/>
      <c r="M129" s="171" t="s">
        <v>178</v>
      </c>
      <c r="N129" s="22"/>
      <c r="O129" s="23"/>
      <c r="P129" s="169" t="s">
        <v>142</v>
      </c>
      <c r="T129" s="22"/>
      <c r="U129" s="58"/>
      <c r="V129" s="22"/>
      <c r="W129" s="58"/>
      <c r="X129" s="170" t="s">
        <v>192</v>
      </c>
      <c r="Y129" s="25"/>
      <c r="Z129" s="25"/>
      <c r="AA129" s="26"/>
      <c r="AB129" s="25"/>
      <c r="AC129" s="24"/>
    </row>
    <row r="130" spans="1:29" ht="15" customHeight="1">
      <c r="A130">
        <f>'入力シート'!$H$226</f>
        <v>20000</v>
      </c>
      <c r="B130" s="221">
        <f>'入力シート'!$H$227</f>
        <v>0.8</v>
      </c>
      <c r="C130">
        <f>'入力シート'!$H$231</f>
        <v>0.027717583169983646</v>
      </c>
      <c r="D130" s="183">
        <f>$E$54</f>
        <v>9.890840682111786</v>
      </c>
      <c r="F130" s="20"/>
      <c r="G130" s="20"/>
      <c r="H130" s="20"/>
      <c r="I130" s="20"/>
      <c r="J130" s="170"/>
      <c r="K130" s="22"/>
      <c r="L130" s="23"/>
      <c r="M130" s="171"/>
      <c r="N130" s="22"/>
      <c r="O130" s="23"/>
      <c r="P130" s="169"/>
      <c r="Q130" s="70"/>
      <c r="R130" s="70"/>
      <c r="S130" s="169"/>
      <c r="T130" s="22"/>
      <c r="U130" s="58"/>
      <c r="V130" s="22"/>
      <c r="W130" s="58"/>
      <c r="X130" s="169"/>
      <c r="Y130" s="25"/>
      <c r="Z130" s="25"/>
      <c r="AA130" s="26"/>
      <c r="AB130" s="25"/>
      <c r="AC130" s="24"/>
    </row>
    <row r="131" spans="3:29" ht="16.5" customHeight="1">
      <c r="C131" s="41" t="s">
        <v>352</v>
      </c>
      <c r="F131" s="2"/>
      <c r="G131" s="13" t="s">
        <v>0</v>
      </c>
      <c r="H131" s="2" t="str">
        <f>IF('入力シート'!$E$234&lt;&gt;"",'入力シート'!$E$234,"")</f>
        <v>i-②　新物流センター（東京都港区）－■○物流センター＆◎◎㈱横浜支店（横浜市）</v>
      </c>
      <c r="I131" s="2"/>
      <c r="J131" s="7"/>
      <c r="K131" s="8"/>
      <c r="L131" s="3"/>
      <c r="M131" s="7"/>
      <c r="N131" s="8"/>
      <c r="O131" s="3"/>
      <c r="P131" s="7"/>
      <c r="Q131" s="7"/>
      <c r="R131" s="7"/>
      <c r="S131" s="7"/>
      <c r="T131" s="8"/>
      <c r="U131" s="9"/>
      <c r="V131" s="8"/>
      <c r="W131" s="9"/>
      <c r="Y131" s="10"/>
      <c r="Z131" s="10"/>
      <c r="AA131" s="163"/>
      <c r="AB131" s="10"/>
      <c r="AC131" s="12"/>
    </row>
    <row r="132" spans="1:29" ht="15" customHeight="1" thickBot="1">
      <c r="A132" s="180" t="s">
        <v>209</v>
      </c>
      <c r="B132" s="180" t="s">
        <v>5</v>
      </c>
      <c r="C132" s="180" t="s">
        <v>210</v>
      </c>
      <c r="E132" s="223">
        <f>B133</f>
        <v>4492.8</v>
      </c>
      <c r="F132" s="2"/>
      <c r="I132" s="2"/>
      <c r="J132" s="14" t="s">
        <v>4</v>
      </c>
      <c r="K132" s="8"/>
      <c r="L132" s="3"/>
      <c r="M132" s="14" t="s">
        <v>5</v>
      </c>
      <c r="N132" s="8"/>
      <c r="O132" s="56" t="s">
        <v>141</v>
      </c>
      <c r="T132" s="8"/>
      <c r="U132" s="9"/>
      <c r="V132" s="8"/>
      <c r="W132" s="9"/>
      <c r="X132" s="14" t="s">
        <v>187</v>
      </c>
      <c r="Y132" s="10"/>
      <c r="Z132" s="10"/>
      <c r="AA132" s="163"/>
      <c r="AB132" s="10"/>
      <c r="AC132" s="12"/>
    </row>
    <row r="133" spans="1:29" ht="15" customHeight="1" thickBot="1" thickTop="1">
      <c r="A133">
        <f>'入力シート'!$H$242</f>
        <v>30</v>
      </c>
      <c r="B133">
        <f>'入力シート'!$H$244</f>
        <v>4492.8</v>
      </c>
      <c r="C133" t="str">
        <f>'入力シート'!$H$250</f>
        <v>軽油</v>
      </c>
      <c r="E133" s="183">
        <f>X133</f>
        <v>3.735886729983076</v>
      </c>
      <c r="F133" s="15"/>
      <c r="G133" s="195" t="str">
        <f>C133</f>
        <v>軽油</v>
      </c>
      <c r="H133" s="15"/>
      <c r="I133" s="50">
        <v>3</v>
      </c>
      <c r="J133" s="162">
        <f>A133</f>
        <v>30</v>
      </c>
      <c r="K133" s="4" t="s">
        <v>7</v>
      </c>
      <c r="L133" s="52">
        <v>4</v>
      </c>
      <c r="M133" s="162">
        <f>B133</f>
        <v>4492.8</v>
      </c>
      <c r="N133" s="4" t="s">
        <v>7</v>
      </c>
      <c r="O133" s="50">
        <v>10</v>
      </c>
      <c r="P133" s="160">
        <f>C135</f>
        <v>0.027717583169983646</v>
      </c>
      <c r="T133" s="53" t="s">
        <v>173</v>
      </c>
      <c r="U133" s="73" t="s">
        <v>174</v>
      </c>
      <c r="V133" s="53" t="s">
        <v>8</v>
      </c>
      <c r="W133" s="54">
        <v>31</v>
      </c>
      <c r="X133" s="55">
        <f>IF(ISERROR(J133*M133*P133/1000),0,J133*M133*P133/1000)</f>
        <v>3.735886729983076</v>
      </c>
      <c r="Y133" s="16"/>
      <c r="Z133" s="56"/>
      <c r="AA133" s="163"/>
      <c r="AB133" s="19"/>
      <c r="AC133" s="17"/>
    </row>
    <row r="134" spans="1:29" ht="15" customHeight="1" thickTop="1">
      <c r="A134" s="180" t="str">
        <f>'入力シート'!$F$251</f>
        <v>最大積載量（kg）</v>
      </c>
      <c r="B134" s="180" t="str">
        <f>'入力シート'!$F$252</f>
        <v>積載率(%)</v>
      </c>
      <c r="C134" s="180" t="str">
        <f>'入力シート'!$F$253</f>
        <v>燃料使用原単位</v>
      </c>
      <c r="D134" s="180" t="s">
        <v>6</v>
      </c>
      <c r="F134" s="20"/>
      <c r="G134" s="20"/>
      <c r="H134" s="20"/>
      <c r="I134" s="20"/>
      <c r="J134" s="170" t="s">
        <v>175</v>
      </c>
      <c r="K134" s="22"/>
      <c r="L134" s="23"/>
      <c r="M134" s="171" t="s">
        <v>178</v>
      </c>
      <c r="N134" s="22"/>
      <c r="O134" s="23"/>
      <c r="P134" s="169" t="s">
        <v>142</v>
      </c>
      <c r="T134" s="22"/>
      <c r="U134" s="58"/>
      <c r="V134" s="22"/>
      <c r="W134" s="58"/>
      <c r="X134" s="170" t="s">
        <v>192</v>
      </c>
      <c r="Y134" s="25"/>
      <c r="Z134" s="25"/>
      <c r="AA134" s="26"/>
      <c r="AB134" s="25"/>
      <c r="AC134" s="24"/>
    </row>
    <row r="135" spans="1:29" ht="15" customHeight="1">
      <c r="A135">
        <f>'入力シート'!$H$251</f>
        <v>20000</v>
      </c>
      <c r="B135" s="221">
        <f>'入力シート'!$H$252</f>
        <v>0.8</v>
      </c>
      <c r="C135">
        <f>'入力シート'!$H$256</f>
        <v>0.027717583169983646</v>
      </c>
      <c r="D135" s="183">
        <f>$E$59</f>
        <v>9.785208864552404</v>
      </c>
      <c r="F135" s="20"/>
      <c r="G135" s="20"/>
      <c r="H135" s="20"/>
      <c r="I135" s="20"/>
      <c r="J135" s="170"/>
      <c r="K135" s="22"/>
      <c r="L135" s="23"/>
      <c r="M135" s="171"/>
      <c r="N135" s="22"/>
      <c r="O135" s="23"/>
      <c r="P135" s="169"/>
      <c r="Q135" s="70"/>
      <c r="R135" s="70"/>
      <c r="S135" s="169"/>
      <c r="T135" s="22"/>
      <c r="U135" s="58"/>
      <c r="V135" s="22"/>
      <c r="W135" s="58"/>
      <c r="X135" s="169"/>
      <c r="Y135" s="25"/>
      <c r="Z135" s="25"/>
      <c r="AA135" s="26"/>
      <c r="AB135" s="25"/>
      <c r="AC135" s="24"/>
    </row>
    <row r="136" spans="1:29" ht="16.5" customHeight="1">
      <c r="A136" s="44"/>
      <c r="B136" s="44"/>
      <c r="C136" s="222" t="s">
        <v>340</v>
      </c>
      <c r="D136" s="44">
        <f>SUMIF($B$125:$B$136,"貨物量",$E$125:$E$136)</f>
        <v>9034.1</v>
      </c>
      <c r="E136" s="2" t="s">
        <v>3</v>
      </c>
      <c r="F136" s="2"/>
      <c r="G136" s="13"/>
      <c r="H136" s="1"/>
      <c r="I136" s="1"/>
      <c r="J136" s="7"/>
      <c r="K136" s="8"/>
      <c r="L136" s="3"/>
      <c r="M136" s="7"/>
      <c r="N136" s="8"/>
      <c r="O136" s="3"/>
      <c r="P136" s="7"/>
      <c r="Q136" s="7"/>
      <c r="R136" s="7"/>
      <c r="S136" s="7"/>
      <c r="T136" s="8"/>
      <c r="U136" s="9"/>
      <c r="V136" s="8"/>
      <c r="W136" s="9"/>
      <c r="X136" s="7"/>
      <c r="Y136" s="10"/>
      <c r="Z136" s="10"/>
      <c r="AA136" s="11"/>
      <c r="AB136" s="10"/>
      <c r="AC136" s="12"/>
    </row>
    <row r="137" spans="6:29" ht="33" customHeight="1">
      <c r="F137" s="41" t="s">
        <v>212</v>
      </c>
      <c r="G137" s="42"/>
      <c r="H137" s="43"/>
      <c r="I137" s="43"/>
      <c r="J137" s="44"/>
      <c r="K137" s="45"/>
      <c r="L137" s="46"/>
      <c r="M137" s="44"/>
      <c r="N137" s="45"/>
      <c r="O137" s="46"/>
      <c r="P137" s="44"/>
      <c r="Q137" s="44"/>
      <c r="R137" s="44"/>
      <c r="S137" s="44"/>
      <c r="T137" s="45"/>
      <c r="U137" s="47"/>
      <c r="V137" s="45"/>
      <c r="W137" s="47"/>
      <c r="X137" s="44"/>
      <c r="Y137" s="48"/>
      <c r="Z137" s="48"/>
      <c r="AA137" s="49"/>
      <c r="AB137" s="10"/>
      <c r="AC137" s="12"/>
    </row>
    <row r="138" spans="6:31" ht="33" customHeight="1">
      <c r="F138" s="2"/>
      <c r="G138" s="2"/>
      <c r="H138" s="2"/>
      <c r="I138" s="2"/>
      <c r="J138" s="7"/>
      <c r="K138" s="8"/>
      <c r="L138" s="3"/>
      <c r="M138" s="7"/>
      <c r="N138" s="8"/>
      <c r="O138" s="3"/>
      <c r="P138" s="7"/>
      <c r="Q138" s="288" t="s">
        <v>165</v>
      </c>
      <c r="R138" s="288"/>
      <c r="S138" s="288"/>
      <c r="T138" s="288"/>
      <c r="U138" s="288"/>
      <c r="V138" s="288"/>
      <c r="W138" s="288"/>
      <c r="X138" s="288"/>
      <c r="Y138" s="288"/>
      <c r="Z138" s="288"/>
      <c r="AA138" s="288"/>
      <c r="AB138" s="164"/>
      <c r="AC138" s="164"/>
      <c r="AD138" s="10"/>
      <c r="AE138" s="12"/>
    </row>
    <row r="139" spans="6:29" ht="14.25">
      <c r="F139" s="41" t="s">
        <v>242</v>
      </c>
      <c r="G139" s="42"/>
      <c r="H139" s="43"/>
      <c r="I139" s="43"/>
      <c r="J139" s="44"/>
      <c r="K139" s="45"/>
      <c r="L139" s="46"/>
      <c r="M139" s="44"/>
      <c r="N139" s="45"/>
      <c r="O139" s="46"/>
      <c r="P139" s="44"/>
      <c r="Q139" s="44"/>
      <c r="R139" s="44"/>
      <c r="S139" s="44"/>
      <c r="T139" s="45"/>
      <c r="U139" s="47"/>
      <c r="V139" s="45"/>
      <c r="W139" s="47"/>
      <c r="X139" s="44"/>
      <c r="Y139" s="48"/>
      <c r="Z139" s="48"/>
      <c r="AA139" s="49"/>
      <c r="AB139" s="10"/>
      <c r="AC139" s="12"/>
    </row>
    <row r="140" spans="6:31" ht="16.5" customHeight="1">
      <c r="F140" s="2"/>
      <c r="G140" s="2"/>
      <c r="H140" s="2"/>
      <c r="I140" s="2"/>
      <c r="J140" s="7"/>
      <c r="K140" s="8"/>
      <c r="L140" s="3"/>
      <c r="M140" s="7"/>
      <c r="N140" s="8"/>
      <c r="O140" s="3"/>
      <c r="P140" s="7"/>
      <c r="Q140" s="164"/>
      <c r="R140" s="164"/>
      <c r="S140" s="164"/>
      <c r="T140" s="164"/>
      <c r="U140" s="164"/>
      <c r="V140" s="164"/>
      <c r="W140" s="164"/>
      <c r="X140" s="164"/>
      <c r="Y140" s="164"/>
      <c r="Z140" s="164"/>
      <c r="AA140" s="164"/>
      <c r="AB140" s="164"/>
      <c r="AC140" s="164"/>
      <c r="AD140" s="10"/>
      <c r="AE140" s="12"/>
    </row>
    <row r="141" spans="3:29" ht="16.5" customHeight="1">
      <c r="C141" s="41"/>
      <c r="F141" s="2"/>
      <c r="G141" s="13" t="s">
        <v>0</v>
      </c>
      <c r="H141" s="2" t="str">
        <f>IF('入力シート'!$E$7&lt;&gt;"",'入力シート'!$E$7,"")</f>
        <v>i-①　○○倉庫（東京都港区）－○△倉庫（横浜市）</v>
      </c>
      <c r="I141" s="2"/>
      <c r="J141" s="7"/>
      <c r="K141" s="8"/>
      <c r="L141" s="3"/>
      <c r="M141" s="7"/>
      <c r="N141" s="8"/>
      <c r="O141" s="3"/>
      <c r="P141" s="7"/>
      <c r="Q141" s="7"/>
      <c r="R141" s="7"/>
      <c r="S141" s="7"/>
      <c r="T141" s="8"/>
      <c r="U141" s="9"/>
      <c r="V141" s="8"/>
      <c r="W141" s="9"/>
      <c r="Y141" s="10"/>
      <c r="Z141" s="10"/>
      <c r="AA141" s="163"/>
      <c r="AB141" s="10"/>
      <c r="AC141" s="12"/>
    </row>
    <row r="142" spans="1:29" ht="15" customHeight="1" thickBot="1">
      <c r="A142" s="181" t="s">
        <v>209</v>
      </c>
      <c r="B142" s="181" t="s">
        <v>5</v>
      </c>
      <c r="C142" s="182" t="s">
        <v>210</v>
      </c>
      <c r="E142" s="152"/>
      <c r="I142" s="2"/>
      <c r="J142" s="14" t="s">
        <v>139</v>
      </c>
      <c r="K142" s="8"/>
      <c r="L142" s="15"/>
      <c r="M142" s="15"/>
      <c r="N142" s="8"/>
      <c r="O142" s="3"/>
      <c r="P142" s="56"/>
      <c r="Q142" s="14"/>
      <c r="R142" s="154"/>
      <c r="S142" s="14" t="s">
        <v>148</v>
      </c>
      <c r="T142" s="8"/>
      <c r="U142" s="9"/>
      <c r="V142" s="8"/>
      <c r="W142" s="9"/>
      <c r="X142" s="14" t="s">
        <v>145</v>
      </c>
      <c r="Y142" s="10"/>
      <c r="Z142" s="10"/>
      <c r="AB142" s="10"/>
      <c r="AC142" s="12"/>
    </row>
    <row r="143" spans="1:29" ht="15" customHeight="1" thickBot="1" thickTop="1">
      <c r="A143">
        <f>'入力シート'!$H$15</f>
        <v>30</v>
      </c>
      <c r="B143">
        <f>'入力シート'!$H$17</f>
        <v>2665.4</v>
      </c>
      <c r="C143" t="str">
        <f>'入力シート'!$H$23</f>
        <v>軽油</v>
      </c>
      <c r="E143" s="183">
        <f>X143</f>
        <v>4.34156140266208</v>
      </c>
      <c r="G143" s="15"/>
      <c r="H143" s="15"/>
      <c r="I143" s="50">
        <v>8</v>
      </c>
      <c r="J143" s="51">
        <f>D145</f>
        <v>4.405172087607126</v>
      </c>
      <c r="L143" s="15"/>
      <c r="M143" s="15"/>
      <c r="N143" s="4"/>
      <c r="O143" s="3"/>
      <c r="Q143" s="4" t="s">
        <v>7</v>
      </c>
      <c r="R143" s="50"/>
      <c r="S143" s="156">
        <f>IF(ISERROR(VLOOKUP(C143,'係数関連'!$C$3:$P$11,14,FALSE)),"",VLOOKUP(C143,'係数関連'!$C$3:$P$11,14,FALSE))</f>
        <v>0.9855600000000001</v>
      </c>
      <c r="T143" s="53"/>
      <c r="U143" s="73"/>
      <c r="V143" s="53" t="s">
        <v>8</v>
      </c>
      <c r="W143" s="54">
        <v>81</v>
      </c>
      <c r="X143" s="55">
        <f>IF(S143="",0,J143*S143)</f>
        <v>4.34156140266208</v>
      </c>
      <c r="Y143" s="16"/>
      <c r="Z143" s="56"/>
      <c r="AB143" s="19"/>
      <c r="AC143" s="17"/>
    </row>
    <row r="144" spans="1:29" ht="15" customHeight="1" thickTop="1">
      <c r="A144" s="181" t="str">
        <f>'入力シート'!$F$24</f>
        <v>最大積載量（kg）</v>
      </c>
      <c r="B144" s="181">
        <f>'入力シート'!$F$5</f>
        <v>0</v>
      </c>
      <c r="C144" s="181">
        <f>'入力シート'!$F$5</f>
        <v>0</v>
      </c>
      <c r="D144" s="220" t="s">
        <v>211</v>
      </c>
      <c r="G144" s="20"/>
      <c r="H144" s="20"/>
      <c r="I144" s="20"/>
      <c r="J144" s="170" t="s">
        <v>201</v>
      </c>
      <c r="K144" s="22"/>
      <c r="L144" s="23"/>
      <c r="M144" s="21"/>
      <c r="N144" s="22"/>
      <c r="O144" s="23"/>
      <c r="P144" s="70"/>
      <c r="Q144" s="70"/>
      <c r="R144" s="70"/>
      <c r="S144" s="169"/>
      <c r="T144" s="22"/>
      <c r="U144" s="58"/>
      <c r="V144" s="22"/>
      <c r="W144" s="58"/>
      <c r="X144" s="170" t="s">
        <v>202</v>
      </c>
      <c r="Y144" s="25"/>
      <c r="Z144" s="25"/>
      <c r="AA144" s="26"/>
      <c r="AB144" s="25"/>
      <c r="AC144" s="24"/>
    </row>
    <row r="145" spans="1:29" ht="15" customHeight="1">
      <c r="A145">
        <f>'入力シート'!$H$24</f>
        <v>10000</v>
      </c>
      <c r="B145">
        <f>'入力シート'!$H$5</f>
        <v>0</v>
      </c>
      <c r="C145">
        <f>'入力シート'!$H$5</f>
        <v>0</v>
      </c>
      <c r="D145" s="183">
        <f>$E$85</f>
        <v>4.405172087607126</v>
      </c>
      <c r="G145" s="20"/>
      <c r="H145" s="20"/>
      <c r="I145" s="20"/>
      <c r="J145" s="170"/>
      <c r="K145" s="22"/>
      <c r="L145" s="23"/>
      <c r="M145" s="21"/>
      <c r="N145" s="22"/>
      <c r="O145" s="23"/>
      <c r="P145" s="70"/>
      <c r="Q145" s="70"/>
      <c r="R145" s="70"/>
      <c r="S145" s="169"/>
      <c r="T145" s="22"/>
      <c r="U145" s="58"/>
      <c r="V145" s="22"/>
      <c r="W145" s="58"/>
      <c r="X145" s="170"/>
      <c r="Y145" s="25"/>
      <c r="Z145" s="25"/>
      <c r="AA145" s="26"/>
      <c r="AB145" s="25"/>
      <c r="AC145" s="24"/>
    </row>
    <row r="146" spans="3:29" ht="16.5" customHeight="1">
      <c r="C146" s="41"/>
      <c r="F146" s="2"/>
      <c r="G146" s="13" t="s">
        <v>0</v>
      </c>
      <c r="H146" s="2" t="str">
        <f>IF('入力シート'!$E$32&lt;&gt;"",'入力シート'!$E$32,"")</f>
        <v>i-②　○△倉庫（東京都港区）－■△産業㈱（横浜市）</v>
      </c>
      <c r="I146" s="2"/>
      <c r="J146" s="7"/>
      <c r="K146" s="8"/>
      <c r="L146" s="3"/>
      <c r="M146" s="7"/>
      <c r="N146" s="8"/>
      <c r="O146" s="3"/>
      <c r="P146" s="7"/>
      <c r="Q146" s="7"/>
      <c r="R146" s="7"/>
      <c r="S146" s="7"/>
      <c r="T146" s="8"/>
      <c r="U146" s="9"/>
      <c r="V146" s="8"/>
      <c r="W146" s="9"/>
      <c r="Y146" s="10"/>
      <c r="Z146" s="10"/>
      <c r="AA146" s="163"/>
      <c r="AB146" s="10"/>
      <c r="AC146" s="12"/>
    </row>
    <row r="147" spans="1:29" ht="15" customHeight="1" thickBot="1">
      <c r="A147" s="181" t="s">
        <v>209</v>
      </c>
      <c r="B147" s="181" t="s">
        <v>5</v>
      </c>
      <c r="C147" s="182" t="s">
        <v>210</v>
      </c>
      <c r="E147" s="152"/>
      <c r="I147" s="2"/>
      <c r="J147" s="14" t="s">
        <v>139</v>
      </c>
      <c r="K147" s="8"/>
      <c r="L147" s="15"/>
      <c r="M147" s="15"/>
      <c r="N147" s="8"/>
      <c r="O147" s="3"/>
      <c r="P147" s="56"/>
      <c r="Q147" s="14"/>
      <c r="R147" s="154"/>
      <c r="S147" s="14" t="s">
        <v>148</v>
      </c>
      <c r="T147" s="8"/>
      <c r="U147" s="9"/>
      <c r="V147" s="8"/>
      <c r="W147" s="9"/>
      <c r="X147" s="14" t="s">
        <v>145</v>
      </c>
      <c r="Y147" s="10"/>
      <c r="Z147" s="10"/>
      <c r="AB147" s="10"/>
      <c r="AC147" s="12"/>
    </row>
    <row r="148" spans="1:29" ht="15" customHeight="1" thickBot="1" thickTop="1">
      <c r="A148">
        <f>'入力シート'!$H$40</f>
        <v>30</v>
      </c>
      <c r="B148">
        <f>'入力シート'!$H$42</f>
        <v>1407.2</v>
      </c>
      <c r="C148" t="str">
        <f>'入力シート'!$H$48</f>
        <v>軽油</v>
      </c>
      <c r="E148" s="183">
        <f>X148</f>
        <v>2.29213071427406</v>
      </c>
      <c r="G148" s="15"/>
      <c r="H148" s="15"/>
      <c r="I148" s="50">
        <v>8</v>
      </c>
      <c r="J148" s="51">
        <f>D150</f>
        <v>2.3257140247920574</v>
      </c>
      <c r="L148" s="15"/>
      <c r="M148" s="15"/>
      <c r="N148" s="4"/>
      <c r="O148" s="3"/>
      <c r="Q148" s="4" t="s">
        <v>7</v>
      </c>
      <c r="R148" s="50"/>
      <c r="S148" s="156">
        <f>IF(ISERROR(VLOOKUP(C148,'係数関連'!$C$3:$P$11,14,FALSE)),"",VLOOKUP(C148,'係数関連'!$C$3:$P$11,14,FALSE))</f>
        <v>0.9855600000000001</v>
      </c>
      <c r="T148" s="53"/>
      <c r="U148" s="73"/>
      <c r="V148" s="53" t="s">
        <v>8</v>
      </c>
      <c r="W148" s="54">
        <v>81</v>
      </c>
      <c r="X148" s="55">
        <f>IF(S148="",0,J148*S148)</f>
        <v>2.29213071427406</v>
      </c>
      <c r="Y148" s="16"/>
      <c r="Z148" s="56"/>
      <c r="AB148" s="19"/>
      <c r="AC148" s="17"/>
    </row>
    <row r="149" spans="1:29" ht="15" customHeight="1" thickTop="1">
      <c r="A149" s="181" t="str">
        <f>'入力シート'!$F$49</f>
        <v>最大積載量（kg）</v>
      </c>
      <c r="B149" s="181">
        <f>'入力シート'!$F$30</f>
        <v>0</v>
      </c>
      <c r="C149" s="181">
        <f>'入力シート'!$F$30</f>
        <v>0</v>
      </c>
      <c r="D149" s="220" t="s">
        <v>211</v>
      </c>
      <c r="G149" s="20"/>
      <c r="H149" s="20"/>
      <c r="I149" s="20"/>
      <c r="J149" s="170" t="s">
        <v>201</v>
      </c>
      <c r="K149" s="22"/>
      <c r="L149" s="23"/>
      <c r="M149" s="21"/>
      <c r="N149" s="22"/>
      <c r="O149" s="23"/>
      <c r="P149" s="70"/>
      <c r="Q149" s="70"/>
      <c r="R149" s="70"/>
      <c r="S149" s="169"/>
      <c r="T149" s="22"/>
      <c r="U149" s="58"/>
      <c r="V149" s="22"/>
      <c r="W149" s="58"/>
      <c r="X149" s="170" t="s">
        <v>202</v>
      </c>
      <c r="Y149" s="25"/>
      <c r="Z149" s="25"/>
      <c r="AA149" s="26"/>
      <c r="AB149" s="25"/>
      <c r="AC149" s="24"/>
    </row>
    <row r="150" spans="1:29" ht="15" customHeight="1">
      <c r="A150">
        <f>'入力シート'!$H$49</f>
        <v>10000</v>
      </c>
      <c r="B150" t="str">
        <f>'入力シート'!$H$30</f>
        <v>l／ｔｋｍ</v>
      </c>
      <c r="C150" t="str">
        <f>'入力シート'!$H$30</f>
        <v>l／ｔｋｍ</v>
      </c>
      <c r="D150" s="183">
        <f>$E$90</f>
        <v>2.3257140247920574</v>
      </c>
      <c r="G150" s="20"/>
      <c r="H150" s="20"/>
      <c r="I150" s="20"/>
      <c r="J150" s="170"/>
      <c r="K150" s="22"/>
      <c r="L150" s="23"/>
      <c r="M150" s="21"/>
      <c r="N150" s="22"/>
      <c r="O150" s="23"/>
      <c r="P150" s="70"/>
      <c r="Q150" s="70"/>
      <c r="R150" s="70"/>
      <c r="S150" s="169"/>
      <c r="T150" s="22"/>
      <c r="U150" s="58"/>
      <c r="V150" s="22"/>
      <c r="W150" s="58"/>
      <c r="X150" s="170"/>
      <c r="Y150" s="25"/>
      <c r="Z150" s="25"/>
      <c r="AA150" s="26"/>
      <c r="AB150" s="25"/>
      <c r="AC150" s="24"/>
    </row>
    <row r="151" spans="3:29" ht="16.5" customHeight="1">
      <c r="C151" s="41"/>
      <c r="F151" s="2"/>
      <c r="G151" s="13" t="s">
        <v>0</v>
      </c>
      <c r="H151" s="2" t="str">
        <f>IF('入力シート'!$E$57&lt;&gt;"",'入力シート'!$E$57,"")</f>
        <v>i-③　○△倉庫（東京都港区）－■○物流センター（横浜市）</v>
      </c>
      <c r="I151" s="2"/>
      <c r="J151" s="7"/>
      <c r="K151" s="8"/>
      <c r="L151" s="3"/>
      <c r="M151" s="7"/>
      <c r="N151" s="8"/>
      <c r="O151" s="3"/>
      <c r="P151" s="7"/>
      <c r="Q151" s="7"/>
      <c r="R151" s="7"/>
      <c r="S151" s="7"/>
      <c r="T151" s="8"/>
      <c r="U151" s="9"/>
      <c r="V151" s="8"/>
      <c r="W151" s="9"/>
      <c r="Y151" s="10"/>
      <c r="Z151" s="10"/>
      <c r="AA151" s="163"/>
      <c r="AB151" s="10"/>
      <c r="AC151" s="12"/>
    </row>
    <row r="152" spans="1:29" ht="15" customHeight="1" thickBot="1">
      <c r="A152" s="181" t="s">
        <v>209</v>
      </c>
      <c r="B152" s="181" t="s">
        <v>5</v>
      </c>
      <c r="C152" s="182" t="s">
        <v>210</v>
      </c>
      <c r="E152" s="152"/>
      <c r="I152" s="2"/>
      <c r="J152" s="14" t="s">
        <v>139</v>
      </c>
      <c r="K152" s="8"/>
      <c r="L152" s="15"/>
      <c r="M152" s="15"/>
      <c r="N152" s="8"/>
      <c r="O152" s="3"/>
      <c r="P152" s="56"/>
      <c r="Q152" s="14"/>
      <c r="R152" s="154"/>
      <c r="S152" s="14" t="s">
        <v>148</v>
      </c>
      <c r="T152" s="8"/>
      <c r="U152" s="9"/>
      <c r="V152" s="8"/>
      <c r="W152" s="9"/>
      <c r="X152" s="14" t="s">
        <v>145</v>
      </c>
      <c r="Y152" s="10"/>
      <c r="Z152" s="10"/>
      <c r="AB152" s="10"/>
      <c r="AC152" s="12"/>
    </row>
    <row r="153" spans="1:29" ht="15" customHeight="1" thickBot="1" thickTop="1">
      <c r="A153">
        <f>'入力シート'!$H$65</f>
        <v>30</v>
      </c>
      <c r="B153">
        <f>'入力シート'!$H$67</f>
        <v>2376</v>
      </c>
      <c r="C153" t="str">
        <f>'入力シート'!$H$73</f>
        <v>軽油</v>
      </c>
      <c r="E153" s="183">
        <f>X153</f>
        <v>3.870169540303558</v>
      </c>
      <c r="G153" s="15"/>
      <c r="H153" s="15"/>
      <c r="I153" s="50">
        <v>8</v>
      </c>
      <c r="J153" s="51">
        <f>D155</f>
        <v>3.9268735950155826</v>
      </c>
      <c r="L153" s="15"/>
      <c r="M153" s="15"/>
      <c r="N153" s="4"/>
      <c r="O153" s="3"/>
      <c r="Q153" s="4" t="s">
        <v>7</v>
      </c>
      <c r="R153" s="50"/>
      <c r="S153" s="156">
        <f>IF(ISERROR(VLOOKUP(C153,'係数関連'!$C$3:$P$11,14,FALSE)),"",VLOOKUP(C153,'係数関連'!$C$3:$P$11,14,FALSE))</f>
        <v>0.9855600000000001</v>
      </c>
      <c r="T153" s="53"/>
      <c r="U153" s="73"/>
      <c r="V153" s="53" t="s">
        <v>8</v>
      </c>
      <c r="W153" s="54">
        <v>81</v>
      </c>
      <c r="X153" s="55">
        <f>IF(S153="",0,J153*S153)</f>
        <v>3.870169540303558</v>
      </c>
      <c r="Y153" s="16"/>
      <c r="Z153" s="56"/>
      <c r="AB153" s="19"/>
      <c r="AC153" s="17"/>
    </row>
    <row r="154" spans="1:29" ht="15" customHeight="1" thickTop="1">
      <c r="A154" s="181" t="str">
        <f>'入力シート'!$F$74</f>
        <v>最大積載量（kg）</v>
      </c>
      <c r="B154" s="181">
        <f>'入力シート'!$F$55</f>
        <v>0</v>
      </c>
      <c r="C154" s="181">
        <f>'入力シート'!$F$55</f>
        <v>0</v>
      </c>
      <c r="D154" s="220" t="s">
        <v>211</v>
      </c>
      <c r="G154" s="20"/>
      <c r="H154" s="20"/>
      <c r="I154" s="20"/>
      <c r="J154" s="170" t="s">
        <v>201</v>
      </c>
      <c r="K154" s="22"/>
      <c r="L154" s="23"/>
      <c r="M154" s="21"/>
      <c r="N154" s="22"/>
      <c r="O154" s="23"/>
      <c r="P154" s="70"/>
      <c r="Q154" s="70"/>
      <c r="R154" s="70"/>
      <c r="S154" s="169"/>
      <c r="T154" s="22"/>
      <c r="U154" s="58"/>
      <c r="V154" s="22"/>
      <c r="W154" s="58"/>
      <c r="X154" s="170" t="s">
        <v>202</v>
      </c>
      <c r="Y154" s="25"/>
      <c r="Z154" s="25"/>
      <c r="AA154" s="26"/>
      <c r="AB154" s="25"/>
      <c r="AC154" s="24"/>
    </row>
    <row r="155" spans="1:29" ht="15" customHeight="1">
      <c r="A155">
        <f>'入力シート'!$H$74</f>
        <v>10000</v>
      </c>
      <c r="B155" t="str">
        <f>'入力シート'!$H$55</f>
        <v>l／ｔｋｍ</v>
      </c>
      <c r="C155" t="str">
        <f>'入力シート'!$H$55</f>
        <v>l／ｔｋｍ</v>
      </c>
      <c r="D155" s="183">
        <f>$E$95</f>
        <v>3.9268735950155826</v>
      </c>
      <c r="G155" s="20"/>
      <c r="H155" s="20"/>
      <c r="I155" s="20"/>
      <c r="J155" s="170"/>
      <c r="K155" s="22"/>
      <c r="L155" s="23"/>
      <c r="M155" s="21"/>
      <c r="N155" s="22"/>
      <c r="O155" s="23"/>
      <c r="P155" s="70"/>
      <c r="Q155" s="70"/>
      <c r="R155" s="70"/>
      <c r="S155" s="169"/>
      <c r="T155" s="22"/>
      <c r="U155" s="58"/>
      <c r="V155" s="22"/>
      <c r="W155" s="58"/>
      <c r="X155" s="170"/>
      <c r="Y155" s="25"/>
      <c r="Z155" s="25"/>
      <c r="AA155" s="26"/>
      <c r="AB155" s="25"/>
      <c r="AC155" s="24"/>
    </row>
    <row r="156" spans="3:29" ht="16.5" customHeight="1">
      <c r="C156" s="41"/>
      <c r="F156" s="2"/>
      <c r="G156" s="13" t="s">
        <v>0</v>
      </c>
      <c r="H156" s="2" t="str">
        <f>IF('入力シート'!$E$82&lt;&gt;"",'入力シート'!$E$82,"")</f>
        <v>i-④　○△倉庫（東京都港区）－◎◎㈱横浜支店（横浜市）</v>
      </c>
      <c r="I156" s="2"/>
      <c r="J156" s="7"/>
      <c r="K156" s="8"/>
      <c r="L156" s="3"/>
      <c r="M156" s="7"/>
      <c r="N156" s="8"/>
      <c r="O156" s="3"/>
      <c r="P156" s="7"/>
      <c r="Q156" s="7"/>
      <c r="R156" s="7"/>
      <c r="S156" s="7"/>
      <c r="T156" s="8"/>
      <c r="U156" s="9"/>
      <c r="V156" s="8"/>
      <c r="W156" s="9"/>
      <c r="Y156" s="10"/>
      <c r="Z156" s="10"/>
      <c r="AA156" s="163"/>
      <c r="AB156" s="10"/>
      <c r="AC156" s="12"/>
    </row>
    <row r="157" spans="1:29" ht="15" customHeight="1" thickBot="1">
      <c r="A157" s="181" t="s">
        <v>209</v>
      </c>
      <c r="B157" s="181" t="s">
        <v>5</v>
      </c>
      <c r="C157" s="182" t="s">
        <v>210</v>
      </c>
      <c r="E157" s="152"/>
      <c r="I157" s="2"/>
      <c r="J157" s="14" t="s">
        <v>139</v>
      </c>
      <c r="K157" s="8"/>
      <c r="L157" s="15"/>
      <c r="M157" s="15"/>
      <c r="N157" s="8"/>
      <c r="O157" s="3"/>
      <c r="P157" s="56"/>
      <c r="Q157" s="14"/>
      <c r="R157" s="154"/>
      <c r="S157" s="14" t="s">
        <v>148</v>
      </c>
      <c r="T157" s="8"/>
      <c r="U157" s="9"/>
      <c r="V157" s="8"/>
      <c r="W157" s="9"/>
      <c r="X157" s="14" t="s">
        <v>145</v>
      </c>
      <c r="Y157" s="10"/>
      <c r="Z157" s="10"/>
      <c r="AB157" s="10"/>
      <c r="AC157" s="12"/>
    </row>
    <row r="158" spans="1:29" ht="15" customHeight="1" thickBot="1" thickTop="1">
      <c r="A158">
        <f>'入力シート'!$H$90</f>
        <v>30</v>
      </c>
      <c r="B158">
        <f>'入力シート'!$H$92</f>
        <v>1542.2</v>
      </c>
      <c r="C158" t="str">
        <f>'入力シート'!$H$98</f>
        <v>軽油</v>
      </c>
      <c r="E158" s="183">
        <f>X158</f>
        <v>2.512026710882217</v>
      </c>
      <c r="G158" s="15"/>
      <c r="H158" s="15"/>
      <c r="I158" s="50">
        <v>8</v>
      </c>
      <c r="J158" s="51">
        <f>D160</f>
        <v>2.54883184269067</v>
      </c>
      <c r="L158" s="15"/>
      <c r="M158" s="15"/>
      <c r="N158" s="4"/>
      <c r="O158" s="3"/>
      <c r="Q158" s="4" t="s">
        <v>7</v>
      </c>
      <c r="R158" s="50"/>
      <c r="S158" s="156">
        <f>IF(ISERROR(VLOOKUP(C158,'係数関連'!$C$3:$P$11,14,FALSE)),"",VLOOKUP(C158,'係数関連'!$C$3:$P$11,14,FALSE))</f>
        <v>0.9855600000000001</v>
      </c>
      <c r="T158" s="53"/>
      <c r="U158" s="73"/>
      <c r="V158" s="53" t="s">
        <v>8</v>
      </c>
      <c r="W158" s="54">
        <v>81</v>
      </c>
      <c r="X158" s="55">
        <f>IF(S158="",0,J158*S158)</f>
        <v>2.512026710882217</v>
      </c>
      <c r="Y158" s="16"/>
      <c r="Z158" s="56"/>
      <c r="AB158" s="19"/>
      <c r="AC158" s="17"/>
    </row>
    <row r="159" spans="1:29" ht="15" customHeight="1" thickTop="1">
      <c r="A159" s="181" t="str">
        <f>'入力シート'!$F$99</f>
        <v>最大積載量（kg）</v>
      </c>
      <c r="B159" s="181">
        <f>'入力シート'!$F$80</f>
        <v>0</v>
      </c>
      <c r="C159" s="181">
        <f>'入力シート'!$F$80</f>
        <v>0</v>
      </c>
      <c r="D159" s="220" t="s">
        <v>211</v>
      </c>
      <c r="G159" s="20"/>
      <c r="H159" s="20"/>
      <c r="I159" s="20"/>
      <c r="J159" s="170" t="s">
        <v>201</v>
      </c>
      <c r="K159" s="22"/>
      <c r="L159" s="23"/>
      <c r="M159" s="21"/>
      <c r="N159" s="22"/>
      <c r="O159" s="23"/>
      <c r="P159" s="70"/>
      <c r="Q159" s="70"/>
      <c r="R159" s="70"/>
      <c r="S159" s="169"/>
      <c r="T159" s="22"/>
      <c r="U159" s="58"/>
      <c r="V159" s="22"/>
      <c r="W159" s="58"/>
      <c r="X159" s="170" t="s">
        <v>202</v>
      </c>
      <c r="Y159" s="25"/>
      <c r="Z159" s="25"/>
      <c r="AA159" s="26"/>
      <c r="AB159" s="25"/>
      <c r="AC159" s="24"/>
    </row>
    <row r="160" spans="1:29" ht="15" customHeight="1">
      <c r="A160">
        <f>'入力シート'!$H$99</f>
        <v>10000</v>
      </c>
      <c r="B160" t="str">
        <f>'入力シート'!$H$80</f>
        <v>l／ｔｋｍ</v>
      </c>
      <c r="C160" t="str">
        <f>'入力シート'!$H$80</f>
        <v>l／ｔｋｍ</v>
      </c>
      <c r="D160" s="183">
        <f>$E$100</f>
        <v>2.54883184269067</v>
      </c>
      <c r="G160" s="20"/>
      <c r="H160" s="20"/>
      <c r="I160" s="20"/>
      <c r="J160" s="170"/>
      <c r="K160" s="22"/>
      <c r="L160" s="23"/>
      <c r="M160" s="21"/>
      <c r="N160" s="22"/>
      <c r="O160" s="23"/>
      <c r="P160" s="70"/>
      <c r="Q160" s="70"/>
      <c r="R160" s="70"/>
      <c r="S160" s="169"/>
      <c r="T160" s="22"/>
      <c r="U160" s="58"/>
      <c r="V160" s="22"/>
      <c r="W160" s="58"/>
      <c r="X160" s="170"/>
      <c r="Y160" s="25"/>
      <c r="Z160" s="25"/>
      <c r="AA160" s="26"/>
      <c r="AB160" s="25"/>
      <c r="AC160" s="24"/>
    </row>
    <row r="161" spans="3:29" ht="16.5" customHeight="1">
      <c r="C161" s="41"/>
      <c r="F161" s="2"/>
      <c r="G161" s="13" t="s">
        <v>0</v>
      </c>
      <c r="H161" s="2" t="str">
        <f>IF('入力シート'!$E$107&lt;&gt;"",'入力シート'!$E$107,"")</f>
        <v>ii-①　☆■倉庫（東京都港区）－○△倉庫（横浜市）</v>
      </c>
      <c r="I161" s="2"/>
      <c r="J161" s="7"/>
      <c r="K161" s="8"/>
      <c r="L161" s="3"/>
      <c r="M161" s="7"/>
      <c r="N161" s="8"/>
      <c r="O161" s="3"/>
      <c r="P161" s="7"/>
      <c r="Q161" s="7"/>
      <c r="R161" s="7"/>
      <c r="S161" s="7"/>
      <c r="T161" s="8"/>
      <c r="U161" s="9"/>
      <c r="V161" s="8"/>
      <c r="W161" s="9"/>
      <c r="Y161" s="10"/>
      <c r="Z161" s="10"/>
      <c r="AA161" s="163"/>
      <c r="AB161" s="10"/>
      <c r="AC161" s="12"/>
    </row>
    <row r="162" spans="1:29" ht="15" customHeight="1" thickBot="1">
      <c r="A162" s="181" t="s">
        <v>209</v>
      </c>
      <c r="B162" s="181" t="s">
        <v>5</v>
      </c>
      <c r="C162" s="182" t="s">
        <v>210</v>
      </c>
      <c r="E162" s="152"/>
      <c r="I162" s="2"/>
      <c r="J162" s="14" t="s">
        <v>139</v>
      </c>
      <c r="K162" s="8"/>
      <c r="L162" s="15"/>
      <c r="M162" s="15"/>
      <c r="N162" s="8"/>
      <c r="O162" s="3"/>
      <c r="P162" s="56"/>
      <c r="Q162" s="14"/>
      <c r="R162" s="154"/>
      <c r="S162" s="14" t="s">
        <v>148</v>
      </c>
      <c r="T162" s="8"/>
      <c r="U162" s="9"/>
      <c r="V162" s="8"/>
      <c r="W162" s="9"/>
      <c r="X162" s="14" t="s">
        <v>145</v>
      </c>
      <c r="Y162" s="10"/>
      <c r="Z162" s="10"/>
      <c r="AB162" s="10"/>
      <c r="AC162" s="12"/>
    </row>
    <row r="163" spans="1:29" ht="15" customHeight="1" thickBot="1" thickTop="1">
      <c r="A163">
        <f>'入力シート'!$H$115</f>
        <v>30</v>
      </c>
      <c r="B163">
        <f>'入力シート'!$H$117</f>
        <v>214.9</v>
      </c>
      <c r="C163" t="str">
        <f>'入力シート'!$H$123</f>
        <v>軽油</v>
      </c>
      <c r="E163" s="183">
        <f>X163</f>
        <v>0.8858472427759913</v>
      </c>
      <c r="G163" s="15"/>
      <c r="H163" s="15"/>
      <c r="I163" s="50">
        <v>8</v>
      </c>
      <c r="J163" s="51">
        <f>D165</f>
        <v>0.8988262944681107</v>
      </c>
      <c r="L163" s="15"/>
      <c r="M163" s="15"/>
      <c r="N163" s="4"/>
      <c r="O163" s="3"/>
      <c r="Q163" s="4" t="s">
        <v>7</v>
      </c>
      <c r="R163" s="50"/>
      <c r="S163" s="156">
        <f>IF(ISERROR(VLOOKUP(C163,'係数関連'!$C$3:$P$11,14,FALSE)),"",VLOOKUP(C163,'係数関連'!$C$3:$P$11,14,FALSE))</f>
        <v>0.9855600000000001</v>
      </c>
      <c r="T163" s="53"/>
      <c r="U163" s="73"/>
      <c r="V163" s="53" t="s">
        <v>8</v>
      </c>
      <c r="W163" s="54">
        <v>81</v>
      </c>
      <c r="X163" s="55">
        <f>IF(S163="",0,J163*S163)</f>
        <v>0.8858472427759913</v>
      </c>
      <c r="Y163" s="16"/>
      <c r="Z163" s="56"/>
      <c r="AB163" s="19"/>
      <c r="AC163" s="17"/>
    </row>
    <row r="164" spans="1:29" ht="15" customHeight="1" thickTop="1">
      <c r="A164" s="181" t="str">
        <f>'入力シート'!$F$124</f>
        <v>最大積載量（kg）</v>
      </c>
      <c r="B164" s="181">
        <f>'入力シート'!$F$105</f>
        <v>0</v>
      </c>
      <c r="C164" s="181">
        <f>'入力シート'!$F$105</f>
        <v>0</v>
      </c>
      <c r="D164" s="220" t="s">
        <v>211</v>
      </c>
      <c r="G164" s="20"/>
      <c r="H164" s="20"/>
      <c r="I164" s="20"/>
      <c r="J164" s="170" t="s">
        <v>201</v>
      </c>
      <c r="K164" s="22"/>
      <c r="L164" s="23"/>
      <c r="M164" s="21"/>
      <c r="N164" s="22"/>
      <c r="O164" s="23"/>
      <c r="P164" s="70"/>
      <c r="Q164" s="70"/>
      <c r="R164" s="70"/>
      <c r="S164" s="169"/>
      <c r="T164" s="22"/>
      <c r="U164" s="58"/>
      <c r="V164" s="22"/>
      <c r="W164" s="58"/>
      <c r="X164" s="170" t="s">
        <v>202</v>
      </c>
      <c r="Y164" s="25"/>
      <c r="Z164" s="25"/>
      <c r="AA164" s="26"/>
      <c r="AB164" s="25"/>
      <c r="AC164" s="24"/>
    </row>
    <row r="165" spans="1:29" ht="15" customHeight="1">
      <c r="A165">
        <f>'入力シート'!$H$124</f>
        <v>4000</v>
      </c>
      <c r="B165" t="str">
        <f>'入力シート'!$H$105</f>
        <v>l／ｔｋｍ</v>
      </c>
      <c r="C165" t="str">
        <f>'入力シート'!$H$105</f>
        <v>l／ｔｋｍ</v>
      </c>
      <c r="D165" s="183">
        <f>$E$105</f>
        <v>0.8988262944681107</v>
      </c>
      <c r="G165" s="20"/>
      <c r="H165" s="20"/>
      <c r="I165" s="20"/>
      <c r="J165" s="170"/>
      <c r="K165" s="22"/>
      <c r="L165" s="23"/>
      <c r="M165" s="21"/>
      <c r="N165" s="22"/>
      <c r="O165" s="23"/>
      <c r="P165" s="70"/>
      <c r="Q165" s="70"/>
      <c r="R165" s="70"/>
      <c r="S165" s="169"/>
      <c r="T165" s="22"/>
      <c r="U165" s="58"/>
      <c r="V165" s="22"/>
      <c r="W165" s="58"/>
      <c r="X165" s="170"/>
      <c r="Y165" s="25"/>
      <c r="Z165" s="25"/>
      <c r="AA165" s="26"/>
      <c r="AB165" s="25"/>
      <c r="AC165" s="24"/>
    </row>
    <row r="166" spans="3:29" ht="16.5" customHeight="1">
      <c r="C166" s="41"/>
      <c r="F166" s="2"/>
      <c r="G166" s="13" t="s">
        <v>0</v>
      </c>
      <c r="H166" s="2" t="str">
        <f>IF('入力シート'!$E$132&lt;&gt;"",'入力シート'!$E$132,"")</f>
        <v>ii-②　☆■倉庫（東京都港区）－■△産業㈱（横浜市）</v>
      </c>
      <c r="I166" s="2"/>
      <c r="J166" s="7"/>
      <c r="K166" s="8"/>
      <c r="L166" s="3"/>
      <c r="M166" s="7"/>
      <c r="N166" s="8"/>
      <c r="O166" s="3"/>
      <c r="P166" s="7"/>
      <c r="Q166" s="7"/>
      <c r="R166" s="7"/>
      <c r="S166" s="7"/>
      <c r="T166" s="8"/>
      <c r="U166" s="9"/>
      <c r="V166" s="8"/>
      <c r="W166" s="9"/>
      <c r="Y166" s="10"/>
      <c r="Z166" s="10"/>
      <c r="AA166" s="163"/>
      <c r="AB166" s="10"/>
      <c r="AC166" s="12"/>
    </row>
    <row r="167" spans="1:29" ht="15" customHeight="1" thickBot="1">
      <c r="A167" s="181" t="s">
        <v>209</v>
      </c>
      <c r="B167" s="181" t="s">
        <v>5</v>
      </c>
      <c r="C167" s="182" t="s">
        <v>210</v>
      </c>
      <c r="E167" s="152"/>
      <c r="I167" s="2"/>
      <c r="J167" s="14" t="s">
        <v>139</v>
      </c>
      <c r="K167" s="8"/>
      <c r="L167" s="15"/>
      <c r="M167" s="15"/>
      <c r="N167" s="8"/>
      <c r="O167" s="3"/>
      <c r="P167" s="56"/>
      <c r="Q167" s="14"/>
      <c r="R167" s="154"/>
      <c r="S167" s="14" t="s">
        <v>148</v>
      </c>
      <c r="T167" s="8"/>
      <c r="U167" s="9"/>
      <c r="V167" s="8"/>
      <c r="W167" s="9"/>
      <c r="X167" s="14" t="s">
        <v>145</v>
      </c>
      <c r="Y167" s="10"/>
      <c r="Z167" s="10"/>
      <c r="AB167" s="10"/>
      <c r="AC167" s="12"/>
    </row>
    <row r="168" spans="1:29" ht="15" customHeight="1" thickBot="1" thickTop="1">
      <c r="A168">
        <f>'入力シート'!$H$140</f>
        <v>30</v>
      </c>
      <c r="B168">
        <f>'入力シート'!$H$142</f>
        <v>253.8</v>
      </c>
      <c r="C168" t="str">
        <f>'入力シート'!$H$148</f>
        <v>軽油</v>
      </c>
      <c r="E168" s="183">
        <f>X168</f>
        <v>1.046198372343167</v>
      </c>
      <c r="G168" s="15"/>
      <c r="H168" s="15"/>
      <c r="I168" s="50">
        <v>8</v>
      </c>
      <c r="J168" s="51">
        <f>D170</f>
        <v>1.0615268196184573</v>
      </c>
      <c r="L168" s="15"/>
      <c r="M168" s="15"/>
      <c r="N168" s="4"/>
      <c r="O168" s="3"/>
      <c r="Q168" s="4" t="s">
        <v>7</v>
      </c>
      <c r="R168" s="50"/>
      <c r="S168" s="156">
        <f>IF(ISERROR(VLOOKUP(C168,'係数関連'!$C$3:$P$11,14,FALSE)),"",VLOOKUP(C168,'係数関連'!$C$3:$P$11,14,FALSE))</f>
        <v>0.9855600000000001</v>
      </c>
      <c r="T168" s="53"/>
      <c r="U168" s="73"/>
      <c r="V168" s="53" t="s">
        <v>8</v>
      </c>
      <c r="W168" s="54">
        <v>81</v>
      </c>
      <c r="X168" s="55">
        <f>IF(S168="",0,J168*S168)</f>
        <v>1.046198372343167</v>
      </c>
      <c r="Y168" s="16"/>
      <c r="Z168" s="56"/>
      <c r="AB168" s="19"/>
      <c r="AC168" s="17"/>
    </row>
    <row r="169" spans="1:29" ht="15" customHeight="1" thickTop="1">
      <c r="A169" s="181" t="str">
        <f>'入力シート'!$F$149</f>
        <v>最大積載量（kg）</v>
      </c>
      <c r="B169" s="181">
        <f>'入力シート'!$F$130</f>
        <v>0</v>
      </c>
      <c r="C169" s="181">
        <f>'入力シート'!$F$130</f>
        <v>0</v>
      </c>
      <c r="D169" s="220" t="s">
        <v>211</v>
      </c>
      <c r="G169" s="20"/>
      <c r="H169" s="20"/>
      <c r="I169" s="20"/>
      <c r="J169" s="170" t="s">
        <v>201</v>
      </c>
      <c r="K169" s="22"/>
      <c r="L169" s="23"/>
      <c r="M169" s="21"/>
      <c r="N169" s="22"/>
      <c r="O169" s="23"/>
      <c r="P169" s="70"/>
      <c r="Q169" s="70"/>
      <c r="R169" s="70"/>
      <c r="S169" s="169"/>
      <c r="T169" s="22"/>
      <c r="U169" s="58"/>
      <c r="V169" s="22"/>
      <c r="W169" s="58"/>
      <c r="X169" s="170" t="s">
        <v>202</v>
      </c>
      <c r="Y169" s="25"/>
      <c r="Z169" s="25"/>
      <c r="AA169" s="26"/>
      <c r="AB169" s="25"/>
      <c r="AC169" s="24"/>
    </row>
    <row r="170" spans="1:29" ht="15" customHeight="1">
      <c r="A170">
        <f>'入力シート'!$H$149</f>
        <v>4000</v>
      </c>
      <c r="B170" t="str">
        <f>'入力シート'!$H$130</f>
        <v>l／ｔｋｍ</v>
      </c>
      <c r="C170" t="str">
        <f>'入力シート'!$H$130</f>
        <v>l／ｔｋｍ</v>
      </c>
      <c r="D170" s="183">
        <f>$E$110</f>
        <v>1.0615268196184573</v>
      </c>
      <c r="G170" s="20"/>
      <c r="H170" s="20"/>
      <c r="I170" s="20"/>
      <c r="J170" s="170"/>
      <c r="K170" s="22"/>
      <c r="L170" s="23"/>
      <c r="M170" s="21"/>
      <c r="N170" s="22"/>
      <c r="O170" s="23"/>
      <c r="P170" s="70"/>
      <c r="Q170" s="70"/>
      <c r="R170" s="70"/>
      <c r="S170" s="169"/>
      <c r="T170" s="22"/>
      <c r="U170" s="58"/>
      <c r="V170" s="22"/>
      <c r="W170" s="58"/>
      <c r="X170" s="170"/>
      <c r="Y170" s="25"/>
      <c r="Z170" s="25"/>
      <c r="AA170" s="26"/>
      <c r="AB170" s="25"/>
      <c r="AC170" s="24"/>
    </row>
    <row r="171" spans="3:29" ht="16.5" customHeight="1">
      <c r="C171" s="41"/>
      <c r="F171" s="2"/>
      <c r="G171" s="13" t="s">
        <v>0</v>
      </c>
      <c r="H171" s="2" t="str">
        <f>IF('入力シート'!$E$157&lt;&gt;"",'入力シート'!$E$157,"")</f>
        <v>ii-③　☆■倉庫（東京都港区）－■○物流センター（横浜市）</v>
      </c>
      <c r="I171" s="2"/>
      <c r="J171" s="7"/>
      <c r="K171" s="8"/>
      <c r="L171" s="3"/>
      <c r="M171" s="7"/>
      <c r="N171" s="8"/>
      <c r="O171" s="3"/>
      <c r="P171" s="7"/>
      <c r="Q171" s="7"/>
      <c r="R171" s="7"/>
      <c r="S171" s="7"/>
      <c r="T171" s="8"/>
      <c r="U171" s="9"/>
      <c r="V171" s="8"/>
      <c r="W171" s="9"/>
      <c r="Y171" s="10"/>
      <c r="Z171" s="10"/>
      <c r="AA171" s="163"/>
      <c r="AB171" s="10"/>
      <c r="AC171" s="12"/>
    </row>
    <row r="172" spans="1:29" ht="15" customHeight="1" thickBot="1">
      <c r="A172" s="181" t="s">
        <v>209</v>
      </c>
      <c r="B172" s="181" t="s">
        <v>5</v>
      </c>
      <c r="C172" s="182" t="s">
        <v>210</v>
      </c>
      <c r="E172" s="152"/>
      <c r="I172" s="2"/>
      <c r="J172" s="14" t="s">
        <v>139</v>
      </c>
      <c r="K172" s="8"/>
      <c r="L172" s="15"/>
      <c r="M172" s="15"/>
      <c r="N172" s="8"/>
      <c r="O172" s="3"/>
      <c r="P172" s="56"/>
      <c r="Q172" s="14"/>
      <c r="R172" s="154"/>
      <c r="S172" s="14" t="s">
        <v>148</v>
      </c>
      <c r="T172" s="8"/>
      <c r="U172" s="9"/>
      <c r="V172" s="8"/>
      <c r="W172" s="9"/>
      <c r="X172" s="14" t="s">
        <v>145</v>
      </c>
      <c r="Y172" s="10"/>
      <c r="Z172" s="10"/>
      <c r="AB172" s="10"/>
      <c r="AC172" s="12"/>
    </row>
    <row r="173" spans="1:29" ht="15" customHeight="1" thickBot="1" thickTop="1">
      <c r="A173">
        <f>'入力シート'!$H$165</f>
        <v>30</v>
      </c>
      <c r="B173">
        <f>'入力シート'!$H$167</f>
        <v>491.4</v>
      </c>
      <c r="C173" t="str">
        <f>'入力シート'!$H$173</f>
        <v>軽油</v>
      </c>
      <c r="E173" s="183">
        <f>X173</f>
        <v>2.0256181251750682</v>
      </c>
      <c r="G173" s="15"/>
      <c r="H173" s="15"/>
      <c r="I173" s="50">
        <v>8</v>
      </c>
      <c r="J173" s="51">
        <f>D175</f>
        <v>2.055296608197439</v>
      </c>
      <c r="L173" s="15"/>
      <c r="M173" s="15"/>
      <c r="N173" s="4"/>
      <c r="O173" s="3"/>
      <c r="Q173" s="4" t="s">
        <v>7</v>
      </c>
      <c r="R173" s="50"/>
      <c r="S173" s="156">
        <f>IF(ISERROR(VLOOKUP(C173,'係数関連'!$C$3:$P$11,14,FALSE)),"",VLOOKUP(C173,'係数関連'!$C$3:$P$11,14,FALSE))</f>
        <v>0.9855600000000001</v>
      </c>
      <c r="T173" s="53"/>
      <c r="U173" s="73"/>
      <c r="V173" s="53" t="s">
        <v>8</v>
      </c>
      <c r="W173" s="54">
        <v>81</v>
      </c>
      <c r="X173" s="55">
        <f>IF(S173="",0,J173*S173)</f>
        <v>2.0256181251750682</v>
      </c>
      <c r="Y173" s="16"/>
      <c r="Z173" s="56"/>
      <c r="AB173" s="19"/>
      <c r="AC173" s="17"/>
    </row>
    <row r="174" spans="1:29" ht="15" customHeight="1" thickTop="1">
      <c r="A174" s="181" t="str">
        <f>'入力シート'!$F$174</f>
        <v>最大積載量（kg）</v>
      </c>
      <c r="B174" s="181">
        <f>'入力シート'!$F$155</f>
        <v>0</v>
      </c>
      <c r="C174" s="181">
        <f>'入力シート'!$F$155</f>
        <v>0</v>
      </c>
      <c r="D174" s="220" t="s">
        <v>211</v>
      </c>
      <c r="G174" s="20"/>
      <c r="H174" s="20"/>
      <c r="I174" s="20"/>
      <c r="J174" s="170" t="s">
        <v>201</v>
      </c>
      <c r="K174" s="22"/>
      <c r="L174" s="23"/>
      <c r="M174" s="21"/>
      <c r="N174" s="22"/>
      <c r="O174" s="23"/>
      <c r="P174" s="70"/>
      <c r="Q174" s="70"/>
      <c r="R174" s="70"/>
      <c r="S174" s="169"/>
      <c r="T174" s="22"/>
      <c r="U174" s="58"/>
      <c r="V174" s="22"/>
      <c r="W174" s="58"/>
      <c r="X174" s="170" t="s">
        <v>202</v>
      </c>
      <c r="Y174" s="25"/>
      <c r="Z174" s="25"/>
      <c r="AA174" s="26"/>
      <c r="AB174" s="25"/>
      <c r="AC174" s="24"/>
    </row>
    <row r="175" spans="1:29" ht="15" customHeight="1">
      <c r="A175">
        <f>'入力シート'!$H$174</f>
        <v>4000</v>
      </c>
      <c r="B175" t="str">
        <f>'入力シート'!$H$155</f>
        <v>l／ｔｋｍ</v>
      </c>
      <c r="C175" t="str">
        <f>'入力シート'!$H$155</f>
        <v>l／ｔｋｍ</v>
      </c>
      <c r="D175" s="183">
        <f>$E$115</f>
        <v>2.055296608197439</v>
      </c>
      <c r="G175" s="20"/>
      <c r="H175" s="20"/>
      <c r="I175" s="20"/>
      <c r="J175" s="170"/>
      <c r="K175" s="22"/>
      <c r="L175" s="23"/>
      <c r="M175" s="21"/>
      <c r="N175" s="22"/>
      <c r="O175" s="23"/>
      <c r="P175" s="70"/>
      <c r="Q175" s="70"/>
      <c r="R175" s="70"/>
      <c r="S175" s="169"/>
      <c r="T175" s="22"/>
      <c r="U175" s="58"/>
      <c r="V175" s="22"/>
      <c r="W175" s="58"/>
      <c r="X175" s="170"/>
      <c r="Y175" s="25"/>
      <c r="Z175" s="25"/>
      <c r="AA175" s="26"/>
      <c r="AB175" s="25"/>
      <c r="AC175" s="24"/>
    </row>
    <row r="176" spans="3:29" ht="16.5" customHeight="1">
      <c r="C176" s="41"/>
      <c r="F176" s="2"/>
      <c r="G176" s="13" t="s">
        <v>0</v>
      </c>
      <c r="H176" s="2" t="str">
        <f>IF('入力シート'!$E$182&lt;&gt;"",'入力シート'!$E$182,"")</f>
        <v>ii-④　☆■倉庫（東京都港区）－◎◎㈱横浜支店（横浜市）</v>
      </c>
      <c r="I176" s="2"/>
      <c r="J176" s="7"/>
      <c r="K176" s="8"/>
      <c r="L176" s="3"/>
      <c r="M176" s="7"/>
      <c r="N176" s="8"/>
      <c r="O176" s="3"/>
      <c r="P176" s="7"/>
      <c r="Q176" s="7"/>
      <c r="R176" s="7"/>
      <c r="S176" s="7"/>
      <c r="T176" s="8"/>
      <c r="U176" s="9"/>
      <c r="V176" s="8"/>
      <c r="W176" s="9"/>
      <c r="Y176" s="10"/>
      <c r="Z176" s="10"/>
      <c r="AA176" s="163"/>
      <c r="AB176" s="10"/>
      <c r="AC176" s="12"/>
    </row>
    <row r="177" spans="1:29" ht="15" customHeight="1" thickBot="1">
      <c r="A177" s="181" t="s">
        <v>209</v>
      </c>
      <c r="B177" s="181" t="s">
        <v>5</v>
      </c>
      <c r="C177" s="182" t="s">
        <v>210</v>
      </c>
      <c r="E177" s="152"/>
      <c r="I177" s="2"/>
      <c r="J177" s="14" t="s">
        <v>139</v>
      </c>
      <c r="K177" s="8"/>
      <c r="L177" s="15"/>
      <c r="M177" s="15"/>
      <c r="N177" s="8"/>
      <c r="O177" s="3"/>
      <c r="P177" s="56"/>
      <c r="Q177" s="14"/>
      <c r="R177" s="154"/>
      <c r="S177" s="14" t="s">
        <v>148</v>
      </c>
      <c r="T177" s="8"/>
      <c r="U177" s="9"/>
      <c r="V177" s="8"/>
      <c r="W177" s="9"/>
      <c r="X177" s="14" t="s">
        <v>145</v>
      </c>
      <c r="Y177" s="10"/>
      <c r="Z177" s="10"/>
      <c r="AB177" s="10"/>
      <c r="AC177" s="12"/>
    </row>
    <row r="178" spans="1:29" ht="15" customHeight="1" thickBot="1" thickTop="1">
      <c r="A178">
        <f>'入力シート'!$H$190</f>
        <v>30</v>
      </c>
      <c r="B178">
        <f>'入力シート'!$H$192</f>
        <v>83.2</v>
      </c>
      <c r="C178" t="str">
        <f>'入力シート'!$H$198</f>
        <v>軽油</v>
      </c>
      <c r="E178" s="183">
        <f>X178</f>
        <v>0.3429617989714401</v>
      </c>
      <c r="G178" s="15"/>
      <c r="H178" s="15"/>
      <c r="I178" s="50">
        <v>8</v>
      </c>
      <c r="J178" s="51">
        <f>D180</f>
        <v>0.34798672731385205</v>
      </c>
      <c r="L178" s="15"/>
      <c r="M178" s="15"/>
      <c r="N178" s="4"/>
      <c r="O178" s="3"/>
      <c r="Q178" s="4" t="s">
        <v>7</v>
      </c>
      <c r="R178" s="50"/>
      <c r="S178" s="156">
        <f>IF(ISERROR(VLOOKUP(C178,'係数関連'!$C$3:$P$11,14,FALSE)),"",VLOOKUP(C178,'係数関連'!$C$3:$P$11,14,FALSE))</f>
        <v>0.9855600000000001</v>
      </c>
      <c r="T178" s="53"/>
      <c r="U178" s="73"/>
      <c r="V178" s="53" t="s">
        <v>8</v>
      </c>
      <c r="W178" s="54">
        <v>81</v>
      </c>
      <c r="X178" s="55">
        <f>IF(S178="",0,J178*S178)</f>
        <v>0.3429617989714401</v>
      </c>
      <c r="Y178" s="16"/>
      <c r="Z178" s="56"/>
      <c r="AB178" s="19"/>
      <c r="AC178" s="17"/>
    </row>
    <row r="179" spans="1:29" ht="15" customHeight="1" thickTop="1">
      <c r="A179" s="181" t="str">
        <f>'入力シート'!$F$199</f>
        <v>最大積載量（kg）</v>
      </c>
      <c r="B179" s="181">
        <f>'入力シート'!$F$180</f>
        <v>0</v>
      </c>
      <c r="C179" s="181">
        <f>'入力シート'!$F$180</f>
        <v>0</v>
      </c>
      <c r="D179" s="220" t="s">
        <v>211</v>
      </c>
      <c r="G179" s="20"/>
      <c r="H179" s="20"/>
      <c r="I179" s="20"/>
      <c r="J179" s="170" t="s">
        <v>201</v>
      </c>
      <c r="K179" s="22"/>
      <c r="L179" s="23"/>
      <c r="M179" s="21"/>
      <c r="N179" s="22"/>
      <c r="O179" s="23"/>
      <c r="P179" s="70"/>
      <c r="Q179" s="70"/>
      <c r="R179" s="70"/>
      <c r="S179" s="169"/>
      <c r="T179" s="22"/>
      <c r="U179" s="58"/>
      <c r="V179" s="22"/>
      <c r="W179" s="58"/>
      <c r="X179" s="170" t="s">
        <v>202</v>
      </c>
      <c r="Y179" s="25"/>
      <c r="Z179" s="25"/>
      <c r="AA179" s="26"/>
      <c r="AB179" s="25"/>
      <c r="AC179" s="24"/>
    </row>
    <row r="180" spans="1:29" ht="15" customHeight="1">
      <c r="A180">
        <f>'入力シート'!$H$199</f>
        <v>4000</v>
      </c>
      <c r="B180" t="str">
        <f>'入力シート'!$H$180</f>
        <v>l／ｔｋｍ</v>
      </c>
      <c r="C180" t="str">
        <f>'入力シート'!$H$180</f>
        <v>l／ｔｋｍ</v>
      </c>
      <c r="D180" s="183">
        <f>$E$120</f>
        <v>0.34798672731385205</v>
      </c>
      <c r="G180" s="20"/>
      <c r="H180" s="20"/>
      <c r="I180" s="20"/>
      <c r="J180" s="170"/>
      <c r="K180" s="22"/>
      <c r="L180" s="23"/>
      <c r="M180" s="21"/>
      <c r="N180" s="22"/>
      <c r="O180" s="23"/>
      <c r="P180" s="70"/>
      <c r="Q180" s="70"/>
      <c r="R180" s="70"/>
      <c r="S180" s="169"/>
      <c r="T180" s="22"/>
      <c r="U180" s="58"/>
      <c r="V180" s="22"/>
      <c r="W180" s="58"/>
      <c r="X180" s="170"/>
      <c r="Y180" s="25"/>
      <c r="Z180" s="25"/>
      <c r="AA180" s="26"/>
      <c r="AB180" s="25"/>
      <c r="AC180" s="24"/>
    </row>
    <row r="181" spans="1:29" ht="16.5" customHeight="1">
      <c r="A181" s="44"/>
      <c r="B181" s="44"/>
      <c r="C181" s="44"/>
      <c r="D181" s="44"/>
      <c r="E181" s="2" t="s">
        <v>3</v>
      </c>
      <c r="F181" s="2"/>
      <c r="G181" s="2"/>
      <c r="H181" s="2"/>
      <c r="I181" s="1"/>
      <c r="J181" s="7"/>
      <c r="K181" s="8"/>
      <c r="L181" s="3"/>
      <c r="M181" s="7"/>
      <c r="N181" s="8"/>
      <c r="O181" s="3"/>
      <c r="P181" s="7"/>
      <c r="Q181" s="7"/>
      <c r="R181" s="7"/>
      <c r="S181" s="7"/>
      <c r="T181" s="8"/>
      <c r="U181" s="9"/>
      <c r="V181" s="8"/>
      <c r="W181" s="9"/>
      <c r="X181" s="7"/>
      <c r="Y181" s="10"/>
      <c r="Z181" s="10"/>
      <c r="AA181" s="11"/>
      <c r="AB181" s="10"/>
      <c r="AC181" s="12"/>
    </row>
    <row r="182" spans="6:29" ht="16.5" customHeight="1" thickBot="1">
      <c r="F182" s="2"/>
      <c r="G182" s="2"/>
      <c r="H182" s="2"/>
      <c r="I182" s="7"/>
      <c r="J182" s="7"/>
      <c r="K182" s="7"/>
      <c r="L182" s="7"/>
      <c r="M182" s="7"/>
      <c r="N182" s="8"/>
      <c r="O182" s="3"/>
      <c r="P182" s="7"/>
      <c r="Q182" s="7"/>
      <c r="R182" s="7"/>
      <c r="S182" s="7"/>
      <c r="T182" s="8"/>
      <c r="U182" s="9"/>
      <c r="V182" s="8"/>
      <c r="W182" s="9"/>
      <c r="X182" s="14"/>
      <c r="Y182" s="10"/>
      <c r="Z182" s="10"/>
      <c r="AA182" s="163"/>
      <c r="AB182" s="10"/>
      <c r="AC182" s="12"/>
    </row>
    <row r="183" spans="6:29" ht="16.5" customHeight="1" thickBot="1" thickTop="1">
      <c r="F183" s="15"/>
      <c r="G183" s="15"/>
      <c r="H183" s="15"/>
      <c r="I183" s="7"/>
      <c r="J183" s="7"/>
      <c r="K183" s="7"/>
      <c r="L183" s="7"/>
      <c r="M183" s="7"/>
      <c r="N183" s="4"/>
      <c r="O183" s="188" t="s">
        <v>239</v>
      </c>
      <c r="P183" s="7"/>
      <c r="Q183" s="7"/>
      <c r="R183" s="7"/>
      <c r="S183" s="187"/>
      <c r="T183" s="188"/>
      <c r="U183" s="72"/>
      <c r="V183" s="53" t="s">
        <v>8</v>
      </c>
      <c r="W183" s="54">
        <v>82</v>
      </c>
      <c r="X183" s="55">
        <f>SUM(E140:E181)</f>
        <v>17.316513907387584</v>
      </c>
      <c r="Y183" s="16"/>
      <c r="Z183" s="16"/>
      <c r="AA183" s="163"/>
      <c r="AB183" s="19"/>
      <c r="AC183" s="17"/>
    </row>
    <row r="184" spans="6:29" ht="16.5" customHeight="1" thickTop="1">
      <c r="F184" s="59"/>
      <c r="G184" s="59"/>
      <c r="H184" s="20"/>
      <c r="I184" s="7"/>
      <c r="J184" s="7"/>
      <c r="K184" s="7"/>
      <c r="L184" s="7"/>
      <c r="M184" s="7"/>
      <c r="N184" s="22"/>
      <c r="O184" s="23"/>
      <c r="P184" s="57"/>
      <c r="Q184" s="57"/>
      <c r="R184" s="57"/>
      <c r="S184" s="57"/>
      <c r="T184" s="22"/>
      <c r="U184" s="58"/>
      <c r="V184" s="22"/>
      <c r="W184" s="58"/>
      <c r="X184" s="170" t="s">
        <v>202</v>
      </c>
      <c r="Y184" s="25"/>
      <c r="Z184" s="25"/>
      <c r="AA184" s="26"/>
      <c r="AB184" s="25"/>
      <c r="AC184" s="24"/>
    </row>
    <row r="185" spans="6:29" ht="16.5" customHeight="1">
      <c r="F185" s="2"/>
      <c r="G185" s="2"/>
      <c r="H185" s="2"/>
      <c r="I185" s="2"/>
      <c r="J185" s="7"/>
      <c r="K185" s="8"/>
      <c r="L185" s="3"/>
      <c r="M185" s="7"/>
      <c r="N185" s="8"/>
      <c r="O185" s="3"/>
      <c r="P185" s="2"/>
      <c r="Q185" s="2"/>
      <c r="R185" s="2"/>
      <c r="S185" s="2"/>
      <c r="T185" s="8"/>
      <c r="U185" s="9"/>
      <c r="V185" s="8"/>
      <c r="W185" s="9"/>
      <c r="X185" s="7"/>
      <c r="Y185" s="10"/>
      <c r="Z185" s="10"/>
      <c r="AA185" s="11"/>
      <c r="AB185" s="10"/>
      <c r="AC185" s="12"/>
    </row>
    <row r="186" spans="6:29" ht="14.25">
      <c r="F186" s="41" t="s">
        <v>243</v>
      </c>
      <c r="G186" s="42"/>
      <c r="H186" s="43"/>
      <c r="I186" s="43"/>
      <c r="J186" s="44"/>
      <c r="K186" s="45"/>
      <c r="L186" s="46"/>
      <c r="M186" s="44"/>
      <c r="N186" s="45"/>
      <c r="O186" s="46"/>
      <c r="P186" s="44"/>
      <c r="Q186" s="44"/>
      <c r="R186" s="44"/>
      <c r="S186" s="44"/>
      <c r="T186" s="45"/>
      <c r="U186" s="47"/>
      <c r="V186" s="45"/>
      <c r="W186" s="47"/>
      <c r="X186" s="44"/>
      <c r="Y186" s="48"/>
      <c r="Z186" s="48"/>
      <c r="AA186" s="49"/>
      <c r="AB186" s="10"/>
      <c r="AC186" s="12"/>
    </row>
    <row r="187" spans="6:31" ht="16.5" customHeight="1">
      <c r="F187" s="2"/>
      <c r="G187" s="2"/>
      <c r="H187" s="2"/>
      <c r="I187" s="2"/>
      <c r="J187" s="7"/>
      <c r="K187" s="8"/>
      <c r="L187" s="3"/>
      <c r="M187" s="7"/>
      <c r="N187" s="8"/>
      <c r="O187" s="3"/>
      <c r="P187" s="7"/>
      <c r="Q187" s="164"/>
      <c r="R187" s="164"/>
      <c r="S187" s="164"/>
      <c r="T187" s="164"/>
      <c r="U187" s="164"/>
      <c r="V187" s="164"/>
      <c r="W187" s="164"/>
      <c r="X187" s="164"/>
      <c r="Y187" s="164"/>
      <c r="Z187" s="164"/>
      <c r="AA187" s="164"/>
      <c r="AB187" s="164"/>
      <c r="AC187" s="164"/>
      <c r="AD187" s="10"/>
      <c r="AE187" s="12"/>
    </row>
    <row r="188" spans="3:29" ht="16.5" customHeight="1">
      <c r="C188" s="41"/>
      <c r="F188" s="2"/>
      <c r="G188" s="13" t="s">
        <v>0</v>
      </c>
      <c r="H188" s="2" t="str">
        <f>IF('入力シート'!$E$209&lt;&gt;"",'入力シート'!$E$209,"")</f>
        <v>i-①　新物流センター（東京都港区）－○△倉庫＆■△産業（横浜市）</v>
      </c>
      <c r="I188" s="2"/>
      <c r="J188" s="7"/>
      <c r="K188" s="8"/>
      <c r="L188" s="3"/>
      <c r="M188" s="7"/>
      <c r="N188" s="8"/>
      <c r="O188" s="3"/>
      <c r="P188" s="7"/>
      <c r="Q188" s="7"/>
      <c r="R188" s="7"/>
      <c r="S188" s="7"/>
      <c r="T188" s="8"/>
      <c r="U188" s="9"/>
      <c r="V188" s="8"/>
      <c r="W188" s="9"/>
      <c r="Y188" s="10"/>
      <c r="Z188" s="10"/>
      <c r="AA188" s="163"/>
      <c r="AB188" s="10"/>
      <c r="AC188" s="12"/>
    </row>
    <row r="189" spans="1:29" ht="15" customHeight="1" thickBot="1">
      <c r="A189" s="181" t="s">
        <v>209</v>
      </c>
      <c r="B189" s="181" t="s">
        <v>5</v>
      </c>
      <c r="C189" s="182" t="s">
        <v>210</v>
      </c>
      <c r="E189" s="152"/>
      <c r="I189" s="2"/>
      <c r="J189" s="14" t="s">
        <v>139</v>
      </c>
      <c r="K189" s="8"/>
      <c r="L189" s="15"/>
      <c r="M189" s="15"/>
      <c r="N189" s="8"/>
      <c r="O189" s="3"/>
      <c r="P189" s="56"/>
      <c r="Q189" s="14"/>
      <c r="R189" s="154"/>
      <c r="S189" s="14" t="s">
        <v>148</v>
      </c>
      <c r="T189" s="8"/>
      <c r="U189" s="9"/>
      <c r="V189" s="8"/>
      <c r="W189" s="9"/>
      <c r="X189" s="14" t="s">
        <v>145</v>
      </c>
      <c r="Y189" s="10"/>
      <c r="Z189" s="10"/>
      <c r="AB189" s="10"/>
      <c r="AC189" s="12"/>
    </row>
    <row r="190" spans="1:29" ht="15" customHeight="1" thickBot="1" thickTop="1">
      <c r="A190">
        <f>'入力シート'!$H$217</f>
        <v>30</v>
      </c>
      <c r="B190">
        <f>'入力シート'!$H$219</f>
        <v>4541.3</v>
      </c>
      <c r="C190" t="str">
        <f>'入力シート'!$H$225</f>
        <v>軽油</v>
      </c>
      <c r="E190" s="183">
        <f>X190</f>
        <v>3.7216872571485284</v>
      </c>
      <c r="G190" s="15"/>
      <c r="H190" s="15"/>
      <c r="I190" s="50">
        <v>8</v>
      </c>
      <c r="J190" s="51">
        <f>D192</f>
        <v>3.776215813495402</v>
      </c>
      <c r="L190" s="15"/>
      <c r="M190" s="15"/>
      <c r="N190" s="4"/>
      <c r="O190" s="3"/>
      <c r="Q190" s="4" t="s">
        <v>7</v>
      </c>
      <c r="R190" s="50"/>
      <c r="S190" s="156">
        <f>IF(ISERROR(VLOOKUP(C190,'係数関連'!$C$3:$P$11,14,FALSE)),"",VLOOKUP(C190,'係数関連'!$C$3:$P$11,14,FALSE))</f>
        <v>0.9855600000000001</v>
      </c>
      <c r="T190" s="53"/>
      <c r="U190" s="73"/>
      <c r="V190" s="53" t="s">
        <v>8</v>
      </c>
      <c r="W190" s="54">
        <v>81</v>
      </c>
      <c r="X190" s="55">
        <f>IF(S190="",0,J190*S190)</f>
        <v>3.7216872571485284</v>
      </c>
      <c r="Y190" s="16"/>
      <c r="Z190" s="56"/>
      <c r="AB190" s="19"/>
      <c r="AC190" s="17"/>
    </row>
    <row r="191" spans="1:29" ht="15" customHeight="1" thickTop="1">
      <c r="A191" s="181" t="str">
        <f>'入力シート'!$F$226</f>
        <v>最大積載量（kg）</v>
      </c>
      <c r="B191" s="181">
        <f>'入力シート'!$F$207</f>
        <v>0</v>
      </c>
      <c r="C191" s="181">
        <f>'入力シート'!$F$207</f>
        <v>0</v>
      </c>
      <c r="D191" s="220" t="s">
        <v>211</v>
      </c>
      <c r="G191" s="20"/>
      <c r="H191" s="20"/>
      <c r="I191" s="20"/>
      <c r="J191" s="170" t="s">
        <v>201</v>
      </c>
      <c r="K191" s="22"/>
      <c r="L191" s="23"/>
      <c r="M191" s="21"/>
      <c r="N191" s="22"/>
      <c r="O191" s="23"/>
      <c r="P191" s="70"/>
      <c r="Q191" s="70"/>
      <c r="R191" s="70"/>
      <c r="S191" s="169"/>
      <c r="T191" s="22"/>
      <c r="U191" s="58"/>
      <c r="V191" s="22"/>
      <c r="W191" s="58"/>
      <c r="X191" s="170" t="s">
        <v>202</v>
      </c>
      <c r="Y191" s="25"/>
      <c r="Z191" s="25"/>
      <c r="AA191" s="26"/>
      <c r="AB191" s="25"/>
      <c r="AC191" s="24"/>
    </row>
    <row r="192" spans="1:29" ht="15" customHeight="1">
      <c r="A192">
        <f>'入力シート'!$H$226</f>
        <v>20000</v>
      </c>
      <c r="B192">
        <f>'入力シート'!$H$207</f>
        <v>0</v>
      </c>
      <c r="C192">
        <f>'入力シート'!$H$207</f>
        <v>0</v>
      </c>
      <c r="D192" s="183">
        <f>$E$128</f>
        <v>3.776215813495402</v>
      </c>
      <c r="G192" s="20"/>
      <c r="H192" s="20"/>
      <c r="I192" s="20"/>
      <c r="J192" s="170"/>
      <c r="K192" s="22"/>
      <c r="L192" s="23"/>
      <c r="M192" s="21"/>
      <c r="N192" s="22"/>
      <c r="O192" s="23"/>
      <c r="P192" s="70"/>
      <c r="Q192" s="70"/>
      <c r="R192" s="70"/>
      <c r="S192" s="169"/>
      <c r="T192" s="22"/>
      <c r="U192" s="58"/>
      <c r="V192" s="22"/>
      <c r="W192" s="58"/>
      <c r="X192" s="170"/>
      <c r="Y192" s="25"/>
      <c r="Z192" s="25"/>
      <c r="AA192" s="26"/>
      <c r="AB192" s="25"/>
      <c r="AC192" s="24"/>
    </row>
    <row r="193" spans="3:29" ht="16.5" customHeight="1">
      <c r="C193" s="41"/>
      <c r="F193" s="2"/>
      <c r="G193" s="13" t="s">
        <v>0</v>
      </c>
      <c r="H193" s="2" t="str">
        <f>IF('入力シート'!$E$234&lt;&gt;"",'入力シート'!$E$234,"")</f>
        <v>i-②　新物流センター（東京都港区）－■○物流センター＆◎◎㈱横浜支店（横浜市）</v>
      </c>
      <c r="I193" s="2"/>
      <c r="J193" s="7"/>
      <c r="K193" s="8"/>
      <c r="L193" s="3"/>
      <c r="M193" s="7"/>
      <c r="N193" s="8"/>
      <c r="O193" s="3"/>
      <c r="P193" s="7"/>
      <c r="Q193" s="7"/>
      <c r="R193" s="7"/>
      <c r="S193" s="7"/>
      <c r="T193" s="8"/>
      <c r="U193" s="9"/>
      <c r="V193" s="8"/>
      <c r="W193" s="9"/>
      <c r="Y193" s="10"/>
      <c r="Z193" s="10"/>
      <c r="AA193" s="163"/>
      <c r="AB193" s="10"/>
      <c r="AC193" s="12"/>
    </row>
    <row r="194" spans="1:29" ht="15" customHeight="1" thickBot="1">
      <c r="A194" s="181" t="s">
        <v>209</v>
      </c>
      <c r="B194" s="181" t="s">
        <v>5</v>
      </c>
      <c r="C194" s="182" t="s">
        <v>210</v>
      </c>
      <c r="E194" s="152"/>
      <c r="I194" s="2"/>
      <c r="J194" s="14" t="s">
        <v>139</v>
      </c>
      <c r="K194" s="8"/>
      <c r="L194" s="15"/>
      <c r="M194" s="15"/>
      <c r="N194" s="8"/>
      <c r="O194" s="3"/>
      <c r="P194" s="56"/>
      <c r="Q194" s="14"/>
      <c r="R194" s="154"/>
      <c r="S194" s="14" t="s">
        <v>148</v>
      </c>
      <c r="T194" s="8"/>
      <c r="U194" s="9"/>
      <c r="V194" s="8"/>
      <c r="W194" s="9"/>
      <c r="X194" s="14" t="s">
        <v>145</v>
      </c>
      <c r="Y194" s="10"/>
      <c r="Z194" s="10"/>
      <c r="AB194" s="10"/>
      <c r="AC194" s="12"/>
    </row>
    <row r="195" spans="1:29" ht="15" customHeight="1" thickBot="1" thickTop="1">
      <c r="A195">
        <f>'入力シート'!$H$242</f>
        <v>30</v>
      </c>
      <c r="B195">
        <f>'入力シート'!$H$244</f>
        <v>4492.8</v>
      </c>
      <c r="C195" t="str">
        <f>'入力シート'!$H$250</f>
        <v>軽油</v>
      </c>
      <c r="E195" s="183">
        <f>X195</f>
        <v>3.681940525602121</v>
      </c>
      <c r="G195" s="15"/>
      <c r="H195" s="15"/>
      <c r="I195" s="50">
        <v>8</v>
      </c>
      <c r="J195" s="51">
        <f>D197</f>
        <v>3.735886729983076</v>
      </c>
      <c r="L195" s="15"/>
      <c r="M195" s="15"/>
      <c r="N195" s="4"/>
      <c r="O195" s="3"/>
      <c r="Q195" s="4" t="s">
        <v>7</v>
      </c>
      <c r="R195" s="50"/>
      <c r="S195" s="156">
        <f>IF(ISERROR(VLOOKUP(C195,'係数関連'!$C$3:$P$11,14,FALSE)),"",VLOOKUP(C195,'係数関連'!$C$3:$P$11,14,FALSE))</f>
        <v>0.9855600000000001</v>
      </c>
      <c r="T195" s="53"/>
      <c r="U195" s="73"/>
      <c r="V195" s="53" t="s">
        <v>8</v>
      </c>
      <c r="W195" s="54">
        <v>81</v>
      </c>
      <c r="X195" s="55">
        <f>IF(S195="",0,J195*S195)</f>
        <v>3.681940525602121</v>
      </c>
      <c r="Y195" s="16"/>
      <c r="Z195" s="56"/>
      <c r="AB195" s="19"/>
      <c r="AC195" s="17"/>
    </row>
    <row r="196" spans="1:29" ht="15" customHeight="1" thickTop="1">
      <c r="A196" s="181" t="str">
        <f>'入力シート'!$F$251</f>
        <v>最大積載量（kg）</v>
      </c>
      <c r="B196" s="181">
        <f>'入力シート'!$F$232</f>
        <v>0</v>
      </c>
      <c r="C196" s="181">
        <f>'入力シート'!$F$232</f>
        <v>0</v>
      </c>
      <c r="D196" s="220" t="s">
        <v>211</v>
      </c>
      <c r="G196" s="20"/>
      <c r="H196" s="20"/>
      <c r="I196" s="20"/>
      <c r="J196" s="170" t="s">
        <v>201</v>
      </c>
      <c r="K196" s="22"/>
      <c r="L196" s="23"/>
      <c r="M196" s="21"/>
      <c r="N196" s="22"/>
      <c r="O196" s="23"/>
      <c r="P196" s="70"/>
      <c r="Q196" s="70"/>
      <c r="R196" s="70"/>
      <c r="S196" s="169"/>
      <c r="T196" s="22"/>
      <c r="U196" s="58"/>
      <c r="V196" s="22"/>
      <c r="W196" s="58"/>
      <c r="X196" s="170" t="s">
        <v>202</v>
      </c>
      <c r="Y196" s="25"/>
      <c r="Z196" s="25"/>
      <c r="AA196" s="26"/>
      <c r="AB196" s="25"/>
      <c r="AC196" s="24"/>
    </row>
    <row r="197" spans="1:29" ht="15" customHeight="1">
      <c r="A197">
        <f>'入力シート'!$H$251</f>
        <v>20000</v>
      </c>
      <c r="B197" t="str">
        <f>'入力シート'!$H$232</f>
        <v>l／ｔｋｍ</v>
      </c>
      <c r="C197" t="str">
        <f>'入力シート'!$H$232</f>
        <v>l／ｔｋｍ</v>
      </c>
      <c r="D197" s="183">
        <f>$E$133</f>
        <v>3.735886729983076</v>
      </c>
      <c r="G197" s="20"/>
      <c r="H197" s="20"/>
      <c r="I197" s="20"/>
      <c r="J197" s="170"/>
      <c r="K197" s="22"/>
      <c r="L197" s="23"/>
      <c r="M197" s="21"/>
      <c r="N197" s="22"/>
      <c r="O197" s="23"/>
      <c r="P197" s="70"/>
      <c r="Q197" s="70"/>
      <c r="R197" s="70"/>
      <c r="S197" s="169"/>
      <c r="T197" s="22"/>
      <c r="U197" s="58"/>
      <c r="V197" s="22"/>
      <c r="W197" s="58"/>
      <c r="X197" s="170"/>
      <c r="Y197" s="25"/>
      <c r="Z197" s="25"/>
      <c r="AA197" s="26"/>
      <c r="AB197" s="25"/>
      <c r="AC197" s="24"/>
    </row>
    <row r="198" spans="1:29" ht="16.5" customHeight="1">
      <c r="A198" s="44"/>
      <c r="B198" s="44"/>
      <c r="C198" s="44"/>
      <c r="D198" s="44"/>
      <c r="E198" s="2" t="s">
        <v>3</v>
      </c>
      <c r="F198" s="2"/>
      <c r="G198" s="2"/>
      <c r="H198" s="2"/>
      <c r="I198" s="1"/>
      <c r="J198" s="7"/>
      <c r="K198" s="8"/>
      <c r="L198" s="3"/>
      <c r="M198" s="7"/>
      <c r="N198" s="8"/>
      <c r="O198" s="3"/>
      <c r="P198" s="7"/>
      <c r="Q198" s="7"/>
      <c r="R198" s="7"/>
      <c r="S198" s="7"/>
      <c r="T198" s="8"/>
      <c r="U198" s="9"/>
      <c r="V198" s="8"/>
      <c r="W198" s="9"/>
      <c r="X198" s="7"/>
      <c r="Y198" s="10"/>
      <c r="Z198" s="10"/>
      <c r="AA198" s="11"/>
      <c r="AB198" s="10"/>
      <c r="AC198" s="12"/>
    </row>
    <row r="199" spans="6:29" ht="16.5" customHeight="1" thickBot="1">
      <c r="F199" s="2"/>
      <c r="G199" s="2"/>
      <c r="H199" s="2"/>
      <c r="I199" s="7"/>
      <c r="J199" s="7"/>
      <c r="K199" s="7"/>
      <c r="L199" s="7"/>
      <c r="M199" s="7"/>
      <c r="N199" s="8"/>
      <c r="O199" s="3"/>
      <c r="P199" s="7"/>
      <c r="Q199" s="7"/>
      <c r="R199" s="7"/>
      <c r="S199" s="7"/>
      <c r="T199" s="8"/>
      <c r="U199" s="9"/>
      <c r="V199" s="8"/>
      <c r="W199" s="9"/>
      <c r="X199" s="14"/>
      <c r="Y199" s="10"/>
      <c r="Z199" s="10"/>
      <c r="AA199" s="163"/>
      <c r="AB199" s="10"/>
      <c r="AC199" s="12"/>
    </row>
    <row r="200" spans="6:29" ht="16.5" customHeight="1" thickBot="1" thickTop="1">
      <c r="F200" s="15"/>
      <c r="G200" s="15"/>
      <c r="H200" s="15"/>
      <c r="I200" s="7"/>
      <c r="J200" s="7"/>
      <c r="K200" s="7"/>
      <c r="L200" s="7"/>
      <c r="M200" s="7"/>
      <c r="N200" s="4"/>
      <c r="O200" s="188" t="s">
        <v>238</v>
      </c>
      <c r="P200" s="7"/>
      <c r="Q200" s="7"/>
      <c r="R200" s="7"/>
      <c r="S200" s="187"/>
      <c r="T200" s="188"/>
      <c r="U200" s="72"/>
      <c r="V200" s="53" t="s">
        <v>8</v>
      </c>
      <c r="W200" s="54">
        <v>92</v>
      </c>
      <c r="X200" s="55">
        <f>SUM(E187:E198)</f>
        <v>7.403627782750649</v>
      </c>
      <c r="Y200" s="16"/>
      <c r="Z200" s="16"/>
      <c r="AA200" s="163"/>
      <c r="AB200" s="19"/>
      <c r="AC200" s="17"/>
    </row>
    <row r="201" spans="6:29" ht="16.5" customHeight="1" thickTop="1">
      <c r="F201" s="59"/>
      <c r="G201" s="59"/>
      <c r="H201" s="20"/>
      <c r="I201" s="7"/>
      <c r="J201" s="7"/>
      <c r="K201" s="7"/>
      <c r="L201" s="7"/>
      <c r="M201" s="7"/>
      <c r="N201" s="22"/>
      <c r="O201" s="23"/>
      <c r="P201" s="57"/>
      <c r="Q201" s="57"/>
      <c r="R201" s="57"/>
      <c r="S201" s="57"/>
      <c r="T201" s="22"/>
      <c r="U201" s="58"/>
      <c r="V201" s="22"/>
      <c r="W201" s="58"/>
      <c r="X201" s="170" t="s">
        <v>202</v>
      </c>
      <c r="Y201" s="25"/>
      <c r="Z201" s="25"/>
      <c r="AA201" s="26"/>
      <c r="AB201" s="25"/>
      <c r="AC201" s="24"/>
    </row>
    <row r="202" spans="6:29" ht="16.5" customHeight="1">
      <c r="F202" s="2"/>
      <c r="G202" s="2"/>
      <c r="H202" s="2"/>
      <c r="I202" s="2"/>
      <c r="J202" s="7"/>
      <c r="K202" s="8"/>
      <c r="L202" s="3"/>
      <c r="M202" s="7"/>
      <c r="N202" s="8"/>
      <c r="O202" s="3"/>
      <c r="P202" s="2"/>
      <c r="Q202" s="2"/>
      <c r="R202" s="2"/>
      <c r="S202" s="2"/>
      <c r="T202" s="8"/>
      <c r="U202" s="9"/>
      <c r="V202" s="8"/>
      <c r="W202" s="9"/>
      <c r="X202" s="7"/>
      <c r="Y202" s="10"/>
      <c r="Z202" s="10"/>
      <c r="AA202" s="11"/>
      <c r="AB202" s="10"/>
      <c r="AC202" s="12"/>
    </row>
    <row r="203" spans="6:27" ht="16.5" customHeight="1">
      <c r="F203" s="41" t="s">
        <v>244</v>
      </c>
      <c r="G203" s="60"/>
      <c r="H203" s="60"/>
      <c r="I203" s="60"/>
      <c r="J203" s="61"/>
      <c r="K203" s="62"/>
      <c r="L203" s="63"/>
      <c r="M203" s="61"/>
      <c r="N203" s="62"/>
      <c r="O203" s="63"/>
      <c r="P203" s="61"/>
      <c r="Q203" s="61"/>
      <c r="R203" s="61"/>
      <c r="S203" s="61"/>
      <c r="T203" s="62"/>
      <c r="U203" s="64"/>
      <c r="V203" s="62"/>
      <c r="W203" s="64"/>
      <c r="X203" s="61"/>
      <c r="Y203" s="65"/>
      <c r="Z203" s="65"/>
      <c r="AA203" s="66"/>
    </row>
    <row r="204" ht="15" customHeight="1"/>
    <row r="205" spans="10:24" ht="15" thickBot="1">
      <c r="J205" s="171" t="s">
        <v>298</v>
      </c>
      <c r="M205" s="155" t="s">
        <v>245</v>
      </c>
      <c r="Q205" s="29"/>
      <c r="R205" s="30"/>
      <c r="X205" s="189" t="s">
        <v>246</v>
      </c>
    </row>
    <row r="206" spans="9:24" ht="15.75" thickBot="1" thickTop="1">
      <c r="I206" s="50">
        <v>81</v>
      </c>
      <c r="J206" s="55">
        <f>$X$183</f>
        <v>17.316513907387584</v>
      </c>
      <c r="K206" s="190" t="s">
        <v>247</v>
      </c>
      <c r="L206" s="50"/>
      <c r="M206" s="191">
        <f>$D$46</f>
        <v>271023</v>
      </c>
      <c r="Q206" s="29"/>
      <c r="R206" s="30"/>
      <c r="V206" s="53" t="s">
        <v>8</v>
      </c>
      <c r="W206" s="192">
        <v>101</v>
      </c>
      <c r="X206" s="55">
        <f>IF(ISERROR(J206/M206),0,J206/M206)</f>
        <v>6.389315263792218E-05</v>
      </c>
    </row>
    <row r="207" spans="10:24" ht="15" thickTop="1">
      <c r="J207" s="169" t="s">
        <v>146</v>
      </c>
      <c r="M207" s="169" t="s">
        <v>248</v>
      </c>
      <c r="X207" s="169" t="s">
        <v>249</v>
      </c>
    </row>
    <row r="209" spans="10:24" ht="15" thickBot="1">
      <c r="J209" s="171" t="s">
        <v>299</v>
      </c>
      <c r="K209" s="28"/>
      <c r="L209" s="28"/>
      <c r="M209" s="155" t="s">
        <v>300</v>
      </c>
      <c r="X209" s="189" t="s">
        <v>301</v>
      </c>
    </row>
    <row r="210" spans="9:24" ht="15.75" thickBot="1" thickTop="1">
      <c r="I210" s="50">
        <v>92</v>
      </c>
      <c r="J210" s="55">
        <f>$X$200</f>
        <v>7.403627782750649</v>
      </c>
      <c r="K210" s="190" t="s">
        <v>251</v>
      </c>
      <c r="L210" s="50"/>
      <c r="M210" s="191">
        <f>$D$63</f>
        <v>271023</v>
      </c>
      <c r="N210" s="28"/>
      <c r="V210" s="53" t="s">
        <v>8</v>
      </c>
      <c r="W210" s="192">
        <v>102</v>
      </c>
      <c r="X210" s="55">
        <f>IF(ISERROR(J210/M210),0,J210/M210)</f>
        <v>2.7317341269009084E-05</v>
      </c>
    </row>
    <row r="211" spans="10:24" ht="15" thickTop="1">
      <c r="J211" s="169" t="s">
        <v>146</v>
      </c>
      <c r="M211" s="169" t="s">
        <v>248</v>
      </c>
      <c r="X211" s="169" t="s">
        <v>249</v>
      </c>
    </row>
    <row r="212" spans="7:8" ht="14.25">
      <c r="G212" s="13" t="s">
        <v>0</v>
      </c>
      <c r="H212" s="1" t="s">
        <v>11</v>
      </c>
    </row>
    <row r="213" spans="10:24" ht="15" thickBot="1">
      <c r="J213" s="189" t="s">
        <v>246</v>
      </c>
      <c r="M213" s="189" t="s">
        <v>301</v>
      </c>
      <c r="S213" s="155" t="s">
        <v>245</v>
      </c>
      <c r="X213" s="186" t="s">
        <v>11</v>
      </c>
    </row>
    <row r="214" spans="8:24" ht="15.75" thickBot="1" thickTop="1">
      <c r="H214" s="193" t="s">
        <v>252</v>
      </c>
      <c r="I214" s="192">
        <v>101</v>
      </c>
      <c r="J214" s="55">
        <f>X206</f>
        <v>6.389315263792218E-05</v>
      </c>
      <c r="K214" s="53" t="s">
        <v>15</v>
      </c>
      <c r="L214" s="192">
        <v>102</v>
      </c>
      <c r="M214" s="55">
        <f>X210</f>
        <v>2.7317341269009084E-05</v>
      </c>
      <c r="N214" s="190" t="s">
        <v>253</v>
      </c>
      <c r="Q214" s="53" t="s">
        <v>7</v>
      </c>
      <c r="R214" s="50"/>
      <c r="S214" s="191">
        <f>$D$46</f>
        <v>271023</v>
      </c>
      <c r="V214" s="53" t="s">
        <v>8</v>
      </c>
      <c r="W214" s="192">
        <v>103</v>
      </c>
      <c r="X214" s="55">
        <f>IF(ISERROR((J214-M214)*S214),0,(J214-M214)*S214)</f>
        <v>9.912886124636932</v>
      </c>
    </row>
    <row r="215" spans="10:24" ht="15" thickTop="1">
      <c r="J215" s="169" t="s">
        <v>254</v>
      </c>
      <c r="M215" s="169" t="s">
        <v>254</v>
      </c>
      <c r="S215" s="169" t="s">
        <v>248</v>
      </c>
      <c r="X215" s="169" t="s">
        <v>146</v>
      </c>
    </row>
    <row r="217" spans="7:8" ht="14.25">
      <c r="G217" s="13" t="s">
        <v>0</v>
      </c>
      <c r="H217" s="1" t="s">
        <v>255</v>
      </c>
    </row>
    <row r="218" spans="10:24" ht="15" thickBot="1">
      <c r="J218" s="189" t="s">
        <v>246</v>
      </c>
      <c r="M218" s="189" t="s">
        <v>250</v>
      </c>
      <c r="X218" s="186" t="s">
        <v>255</v>
      </c>
    </row>
    <row r="219" spans="8:24" ht="15.75" thickBot="1" thickTop="1">
      <c r="H219" s="193" t="s">
        <v>256</v>
      </c>
      <c r="I219" s="192">
        <v>101</v>
      </c>
      <c r="J219" s="55">
        <f>X206</f>
        <v>6.389315263792218E-05</v>
      </c>
      <c r="L219" s="192">
        <v>102</v>
      </c>
      <c r="M219" s="55">
        <f>X210</f>
        <v>2.7317341269009084E-05</v>
      </c>
      <c r="N219" s="190" t="s">
        <v>257</v>
      </c>
      <c r="Q219" s="53" t="s">
        <v>16</v>
      </c>
      <c r="R219" s="192">
        <v>101</v>
      </c>
      <c r="S219" s="55">
        <f>X206</f>
        <v>6.389315263792218E-05</v>
      </c>
      <c r="T219" s="53" t="s">
        <v>7</v>
      </c>
      <c r="U219" s="194">
        <v>100</v>
      </c>
      <c r="V219" s="53" t="s">
        <v>8</v>
      </c>
      <c r="W219" s="192">
        <v>104</v>
      </c>
      <c r="X219" s="55">
        <f>IF(ISERROR((J219-M219)/S219*100),0,(J219-M219)/S219*100)</f>
        <v>57.24527568108204</v>
      </c>
    </row>
    <row r="220" spans="10:24" ht="15" thickTop="1">
      <c r="J220" s="169" t="s">
        <v>249</v>
      </c>
      <c r="M220" s="169" t="s">
        <v>249</v>
      </c>
      <c r="S220" s="169" t="s">
        <v>249</v>
      </c>
      <c r="U220" s="53" t="s">
        <v>258</v>
      </c>
      <c r="X220" s="53" t="s">
        <v>258</v>
      </c>
    </row>
  </sheetData>
  <sheetProtection password="C9A1" sheet="1" objects="1" scenarios="1" selectLockedCells="1" selectUnlockedCells="1"/>
  <mergeCells count="3">
    <mergeCell ref="Q138:AA138"/>
    <mergeCell ref="Q2:AA2"/>
    <mergeCell ref="Q80:AA80"/>
  </mergeCells>
  <printOptions/>
  <pageMargins left="0.75" right="0.75" top="1" bottom="1" header="0.512" footer="0.512"/>
  <pageSetup fitToHeight="0"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codeName="Sheet6">
    <tabColor indexed="43"/>
  </sheetPr>
  <dimension ref="B2:H25"/>
  <sheetViews>
    <sheetView tabSelected="1" workbookViewId="0" topLeftCell="A4">
      <selection activeCell="F22" sqref="F22"/>
    </sheetView>
  </sheetViews>
  <sheetFormatPr defaultColWidth="9.00390625" defaultRowHeight="13.5"/>
  <cols>
    <col min="1" max="1" width="2.75390625" style="196" customWidth="1"/>
    <col min="2" max="2" width="7.25390625" style="196" customWidth="1"/>
    <col min="3" max="3" width="17.875" style="196" customWidth="1"/>
    <col min="4" max="4" width="9.00390625" style="197" customWidth="1"/>
    <col min="5" max="5" width="2.375" style="196" customWidth="1"/>
    <col min="6" max="6" width="17.75390625" style="196" customWidth="1"/>
    <col min="7" max="7" width="2.125" style="196" customWidth="1"/>
    <col min="8" max="8" width="18.50390625" style="196" customWidth="1"/>
    <col min="9" max="16384" width="9.00390625" style="196" customWidth="1"/>
  </cols>
  <sheetData>
    <row r="2" ht="14.25" thickBot="1">
      <c r="B2" s="196" t="s">
        <v>259</v>
      </c>
    </row>
    <row r="3" spans="2:8" ht="24.75" customHeight="1" thickBot="1">
      <c r="B3" s="306"/>
      <c r="C3" s="307"/>
      <c r="D3" s="238" t="s">
        <v>260</v>
      </c>
      <c r="E3" s="295" t="s">
        <v>261</v>
      </c>
      <c r="F3" s="295"/>
      <c r="G3" s="295" t="s">
        <v>262</v>
      </c>
      <c r="H3" s="296"/>
    </row>
    <row r="4" spans="2:8" ht="24.75" customHeight="1" thickTop="1">
      <c r="B4" s="297" t="s">
        <v>263</v>
      </c>
      <c r="C4" s="298"/>
      <c r="D4" s="263" t="s">
        <v>264</v>
      </c>
      <c r="E4" s="264" t="s">
        <v>391</v>
      </c>
      <c r="F4" s="265">
        <v>9034.1</v>
      </c>
      <c r="G4" s="264" t="s">
        <v>392</v>
      </c>
      <c r="H4" s="266">
        <v>9034</v>
      </c>
    </row>
    <row r="5" spans="2:8" ht="24.75" customHeight="1" thickBot="1">
      <c r="B5" s="299" t="s">
        <v>138</v>
      </c>
      <c r="C5" s="300"/>
      <c r="D5" s="267" t="s">
        <v>265</v>
      </c>
      <c r="E5" s="268"/>
      <c r="F5" s="269">
        <v>240</v>
      </c>
      <c r="G5" s="268"/>
      <c r="H5" s="270">
        <v>240</v>
      </c>
    </row>
    <row r="6" spans="2:8" ht="24.75" customHeight="1" thickBot="1" thickTop="1">
      <c r="B6" s="301" t="s">
        <v>266</v>
      </c>
      <c r="C6" s="302"/>
      <c r="D6" s="271" t="s">
        <v>237</v>
      </c>
      <c r="E6" s="272"/>
      <c r="F6" s="273">
        <f>'計算シート'!$M$206</f>
        <v>271023</v>
      </c>
      <c r="G6" s="274"/>
      <c r="H6" s="275">
        <f>'計算シート'!$M$210</f>
        <v>271023</v>
      </c>
    </row>
    <row r="7" spans="2:8" ht="24.75" customHeight="1" thickTop="1">
      <c r="B7" s="303" t="s">
        <v>267</v>
      </c>
      <c r="C7" s="230" t="s">
        <v>19</v>
      </c>
      <c r="D7" s="200" t="s">
        <v>268</v>
      </c>
      <c r="E7" s="230"/>
      <c r="F7" s="231">
        <f>ROUND(SUMIF('計算シート'!$G$82:$G$123,'別紙4'!$C7,'計算シート'!$E$82:$E$123),2)</f>
        <v>0</v>
      </c>
      <c r="G7" s="232"/>
      <c r="H7" s="233">
        <f>ROUND(SUMIF('計算シート'!$G$125:$G$136,'別紙4'!$C7,'計算シート'!$E$125:$E$136),2)</f>
        <v>0</v>
      </c>
    </row>
    <row r="8" spans="2:8" ht="24.75" customHeight="1">
      <c r="B8" s="304"/>
      <c r="C8" s="202" t="s">
        <v>269</v>
      </c>
      <c r="D8" s="198" t="s">
        <v>268</v>
      </c>
      <c r="E8" s="202"/>
      <c r="F8" s="201">
        <f>ROUND(SUMIF('計算シート'!$G$82:$G$123,'別紙4'!$C8,'計算シート'!$E$82:$E$123),2)</f>
        <v>17.57</v>
      </c>
      <c r="G8" s="199"/>
      <c r="H8" s="203">
        <f>ROUND(SUMIF('計算シート'!$G$125:$G$136,'別紙4'!$C8,'計算シート'!$E$125:$E$136),2)</f>
        <v>7.51</v>
      </c>
    </row>
    <row r="9" spans="2:8" ht="24.75" customHeight="1">
      <c r="B9" s="304"/>
      <c r="C9" s="202" t="s">
        <v>270</v>
      </c>
      <c r="D9" s="198" t="s">
        <v>268</v>
      </c>
      <c r="E9" s="202"/>
      <c r="F9" s="201">
        <f>ROUND(SUMIF('計算シート'!$G$82:$G$123,'別紙4'!$C9,'計算シート'!$E$82:$E$123),2)</f>
        <v>0</v>
      </c>
      <c r="G9" s="199"/>
      <c r="H9" s="203">
        <f>ROUND(SUMIF('計算シート'!$G$125:$G$136,'別紙4'!$C9,'計算シート'!$E$125:$E$136),2)</f>
        <v>0</v>
      </c>
    </row>
    <row r="10" spans="2:8" ht="24.75" customHeight="1">
      <c r="B10" s="304"/>
      <c r="C10" s="202" t="s">
        <v>271</v>
      </c>
      <c r="D10" s="198" t="s">
        <v>268</v>
      </c>
      <c r="E10" s="202"/>
      <c r="F10" s="201">
        <f>ROUND(SUMIF('計算シート'!$G$82:$G$123,'別紙4'!$C10,'計算シート'!$E$82:$E$123),2)</f>
        <v>0</v>
      </c>
      <c r="G10" s="202"/>
      <c r="H10" s="203">
        <f>ROUND(SUMIF('計算シート'!$G$125:$G$136,'別紙4'!$C10,'計算シート'!$E$125:$E$136),2)</f>
        <v>0</v>
      </c>
    </row>
    <row r="11" spans="2:8" ht="24.75" customHeight="1">
      <c r="B11" s="304"/>
      <c r="C11" s="202" t="s">
        <v>272</v>
      </c>
      <c r="D11" s="198" t="s">
        <v>268</v>
      </c>
      <c r="E11" s="202"/>
      <c r="F11" s="201">
        <f>ROUND(SUMIF('計算シート'!$G$82:$G$123,'別紙4'!$C11,'計算シート'!$E$82:$E$123),2)</f>
        <v>0</v>
      </c>
      <c r="G11" s="202"/>
      <c r="H11" s="203">
        <f>ROUND(SUMIF('計算シート'!$G$125:$G$136,'別紙4'!$C11,'計算シート'!$E$125:$E$136),2)</f>
        <v>0</v>
      </c>
    </row>
    <row r="12" spans="2:8" ht="24.75" customHeight="1">
      <c r="B12" s="304"/>
      <c r="C12" s="202" t="s">
        <v>68</v>
      </c>
      <c r="D12" s="198" t="s">
        <v>273</v>
      </c>
      <c r="E12" s="202"/>
      <c r="F12" s="201">
        <f>ROUND(SUMIF('計算シート'!$G$82:$G$123,'別紙4'!$C12,'計算シート'!$E$82:$E$123),2)</f>
        <v>0</v>
      </c>
      <c r="G12" s="202"/>
      <c r="H12" s="203">
        <f>ROUND(SUMIF('計算シート'!$G$125:$G$136,'別紙4'!$C12,'計算シート'!$E$125:$E$136),2)</f>
        <v>0</v>
      </c>
    </row>
    <row r="13" spans="2:8" ht="24.75" customHeight="1">
      <c r="B13" s="304"/>
      <c r="C13" s="202"/>
      <c r="D13" s="198"/>
      <c r="E13" s="202"/>
      <c r="F13" s="201">
        <f>ROUND(SUMIF('計算シート'!$G$82:$G$123,'別紙4'!$C13,'計算シート'!$E$82:$E$123),2)</f>
        <v>0</v>
      </c>
      <c r="G13" s="202"/>
      <c r="H13" s="203">
        <f>ROUND(SUMIF('計算シート'!$G$125:$G$136,'別紙4'!$C13,'計算シート'!$E$125:$E$136),2)</f>
        <v>0</v>
      </c>
    </row>
    <row r="14" spans="2:8" ht="24.75" customHeight="1">
      <c r="B14" s="304"/>
      <c r="C14" s="202"/>
      <c r="D14" s="198"/>
      <c r="E14" s="202"/>
      <c r="F14" s="201">
        <f>ROUND(SUMIF('計算シート'!$G$82:$G$123,'別紙4'!$C14,'計算シート'!$E$82:$E$123),2)</f>
        <v>0</v>
      </c>
      <c r="G14" s="202"/>
      <c r="H14" s="203">
        <f>ROUND(SUMIF('計算シート'!$G$125:$G$136,'別紙4'!$C14,'計算シート'!$E$125:$E$136),2)</f>
        <v>0</v>
      </c>
    </row>
    <row r="15" spans="2:8" ht="24.75" customHeight="1" thickBot="1">
      <c r="B15" s="305"/>
      <c r="C15" s="234"/>
      <c r="D15" s="235"/>
      <c r="E15" s="234"/>
      <c r="F15" s="236">
        <f>ROUND(SUMIF('計算シート'!$G$82:$G$123,'別紙4'!$C15,'計算シート'!$E$82:$E$123),2)</f>
        <v>0</v>
      </c>
      <c r="G15" s="234"/>
      <c r="H15" s="237">
        <f>ROUND(SUMIF('計算シート'!$G$125:$G$136,'別紙4'!$C15,'計算シート'!$E$125:$E$136),2)</f>
        <v>0</v>
      </c>
    </row>
    <row r="16" spans="2:8" ht="24.75" customHeight="1" thickTop="1">
      <c r="B16" s="289" t="s">
        <v>274</v>
      </c>
      <c r="C16" s="290"/>
      <c r="D16" s="239" t="s">
        <v>275</v>
      </c>
      <c r="E16" s="240" t="s">
        <v>276</v>
      </c>
      <c r="F16" s="241">
        <f>'計算シート'!$J$71</f>
        <v>46.02076112079619</v>
      </c>
      <c r="G16" s="240" t="s">
        <v>277</v>
      </c>
      <c r="H16" s="242">
        <f>'計算シート'!$M$71</f>
        <v>19.67604954666419</v>
      </c>
    </row>
    <row r="17" spans="2:8" ht="24.75" customHeight="1">
      <c r="B17" s="291" t="s">
        <v>278</v>
      </c>
      <c r="C17" s="292"/>
      <c r="D17" s="243" t="s">
        <v>279</v>
      </c>
      <c r="E17" s="244" t="s">
        <v>280</v>
      </c>
      <c r="F17" s="245">
        <f>'計算シート'!$J$206</f>
        <v>17.316513907387584</v>
      </c>
      <c r="G17" s="244" t="s">
        <v>281</v>
      </c>
      <c r="H17" s="246">
        <f>'計算シート'!$J$210</f>
        <v>7.403627782750649</v>
      </c>
    </row>
    <row r="18" spans="2:8" ht="24.75" customHeight="1" thickBot="1">
      <c r="B18" s="293" t="s">
        <v>282</v>
      </c>
      <c r="C18" s="294"/>
      <c r="D18" s="247" t="s">
        <v>390</v>
      </c>
      <c r="E18" s="248" t="s">
        <v>283</v>
      </c>
      <c r="F18" s="249">
        <f>IF(ISERROR(F17/F4),"-",F17/F4)</f>
        <v>0.0019167945791376654</v>
      </c>
      <c r="G18" s="248" t="s">
        <v>393</v>
      </c>
      <c r="H18" s="250">
        <f>IF(ISERROR(H17/H4),"-",H17/H4)</f>
        <v>0.0008195293095805456</v>
      </c>
    </row>
    <row r="19" spans="5:7" ht="22.5" customHeight="1">
      <c r="E19" s="196" t="s">
        <v>394</v>
      </c>
      <c r="G19" s="196" t="s">
        <v>395</v>
      </c>
    </row>
    <row r="20" ht="22.5" customHeight="1"/>
    <row r="22" ht="14.25" thickBot="1">
      <c r="C22" s="196" t="s">
        <v>284</v>
      </c>
    </row>
    <row r="23" spans="3:7" ht="22.5" customHeight="1">
      <c r="C23" s="251" t="s">
        <v>285</v>
      </c>
      <c r="D23" s="252" t="s">
        <v>286</v>
      </c>
      <c r="E23" s="253" t="s">
        <v>287</v>
      </c>
      <c r="F23" s="254">
        <f>F16-H16</f>
        <v>26.344711574132</v>
      </c>
      <c r="G23" s="204" t="s">
        <v>288</v>
      </c>
    </row>
    <row r="24" spans="3:7" ht="22.5" customHeight="1">
      <c r="C24" s="255" t="s">
        <v>289</v>
      </c>
      <c r="D24" s="256" t="s">
        <v>339</v>
      </c>
      <c r="E24" s="257" t="s">
        <v>291</v>
      </c>
      <c r="F24" s="258">
        <f>IF(ISERROR((F18-H18)/F18),"-",(F18-H18)/F18*100)</f>
        <v>57.244802416478116</v>
      </c>
      <c r="G24" s="204" t="s">
        <v>292</v>
      </c>
    </row>
    <row r="25" spans="3:7" ht="22.5" customHeight="1" thickBot="1">
      <c r="C25" s="259" t="s">
        <v>293</v>
      </c>
      <c r="D25" s="260" t="s">
        <v>290</v>
      </c>
      <c r="E25" s="261" t="s">
        <v>294</v>
      </c>
      <c r="F25" s="262">
        <f>IF(ISERROR(F4*(F18-H18)),"-",F4*(F18-H18))</f>
        <v>9.912804171705975</v>
      </c>
      <c r="G25" s="204" t="s">
        <v>295</v>
      </c>
    </row>
  </sheetData>
  <sheetProtection password="C9A1" sheet="1" objects="1" scenarios="1" selectLockedCells="1" selectUnlockedCells="1"/>
  <mergeCells count="10">
    <mergeCell ref="B16:C16"/>
    <mergeCell ref="B17:C17"/>
    <mergeCell ref="B18:C18"/>
    <mergeCell ref="G3:H3"/>
    <mergeCell ref="E3:F3"/>
    <mergeCell ref="B4:C4"/>
    <mergeCell ref="B5:C5"/>
    <mergeCell ref="B6:C6"/>
    <mergeCell ref="B7:B15"/>
    <mergeCell ref="B3:C3"/>
  </mergeCells>
  <printOptions/>
  <pageMargins left="0.75" right="0.75" top="1" bottom="1" header="0.512" footer="0.51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8">
    <tabColor indexed="55"/>
    <pageSetUpPr fitToPage="1"/>
  </sheetPr>
  <dimension ref="A1:AC85"/>
  <sheetViews>
    <sheetView workbookViewId="0" topLeftCell="A39">
      <selection activeCell="M87" sqref="M87"/>
    </sheetView>
  </sheetViews>
  <sheetFormatPr defaultColWidth="9.00390625" defaultRowHeight="13.5"/>
  <cols>
    <col min="1" max="3" width="7.125" style="0" customWidth="1"/>
    <col min="4" max="5" width="8.125" style="0" customWidth="1"/>
    <col min="6" max="6" width="4.00390625" style="27" customWidth="1"/>
    <col min="7" max="8" width="7.00390625" style="27" customWidth="1"/>
    <col min="9" max="9" width="3.625" style="27" customWidth="1"/>
    <col min="10" max="10" width="9.625" style="28" customWidth="1"/>
    <col min="11" max="11" width="3.625" style="29" customWidth="1"/>
    <col min="12" max="12" width="3.625" style="30" customWidth="1"/>
    <col min="13" max="13" width="9.625" style="28" customWidth="1"/>
    <col min="14" max="14" width="3.625" style="29" customWidth="1"/>
    <col min="15" max="15" width="3.625" style="30" customWidth="1"/>
    <col min="16" max="16" width="8.25390625" style="28" customWidth="1"/>
    <col min="17" max="17" width="3.00390625" style="28" customWidth="1"/>
    <col min="18" max="18" width="2.75390625" style="28" customWidth="1"/>
    <col min="19" max="19" width="9.625" style="28" customWidth="1"/>
    <col min="20" max="20" width="3.625" style="29" customWidth="1"/>
    <col min="21" max="21" width="4.625" style="31" customWidth="1"/>
    <col min="22" max="22" width="3.625" style="29" customWidth="1"/>
    <col min="23" max="23" width="6.00390625" style="31" customWidth="1"/>
    <col min="24" max="24" width="12.375" style="28" customWidth="1"/>
    <col min="25" max="26" width="3.625" style="32" customWidth="1"/>
    <col min="27" max="27" width="9.00390625" style="33" customWidth="1"/>
    <col min="28" max="28" width="3.625" style="32" customWidth="1"/>
    <col min="29" max="29" width="3.625" style="34" customWidth="1"/>
  </cols>
  <sheetData>
    <row r="1" spans="1:29" ht="14.25">
      <c r="A1" s="41" t="s">
        <v>213</v>
      </c>
      <c r="B1" s="42"/>
      <c r="C1" s="43"/>
      <c r="D1" s="43"/>
      <c r="E1" s="44"/>
      <c r="F1" s="45"/>
      <c r="G1" s="46"/>
      <c r="H1" s="44"/>
      <c r="I1" s="45"/>
      <c r="J1" s="46"/>
      <c r="K1" s="44"/>
      <c r="L1" s="44"/>
      <c r="M1" s="44"/>
      <c r="N1" s="44"/>
      <c r="O1" s="45"/>
      <c r="P1" s="47"/>
      <c r="Q1" s="45"/>
      <c r="R1" s="47"/>
      <c r="S1" s="44"/>
      <c r="T1" s="48"/>
      <c r="U1" s="48"/>
      <c r="V1" s="49"/>
      <c r="W1" s="10"/>
      <c r="X1" s="12"/>
      <c r="Y1"/>
      <c r="Z1"/>
      <c r="AA1"/>
      <c r="AB1"/>
      <c r="AC1"/>
    </row>
    <row r="2" spans="1:29" ht="14.25" customHeight="1">
      <c r="A2" s="184"/>
      <c r="B2" s="286"/>
      <c r="C2" s="177"/>
      <c r="D2" s="2"/>
      <c r="E2" s="2"/>
      <c r="F2" s="2"/>
      <c r="G2" s="3"/>
      <c r="H2" s="70"/>
      <c r="I2" s="70"/>
      <c r="J2" s="38"/>
      <c r="K2" s="2"/>
      <c r="L2"/>
      <c r="M2"/>
      <c r="N2"/>
      <c r="O2"/>
      <c r="P2"/>
      <c r="Q2"/>
      <c r="R2"/>
      <c r="S2"/>
      <c r="T2"/>
      <c r="U2"/>
      <c r="V2"/>
      <c r="W2"/>
      <c r="X2"/>
      <c r="Y2"/>
      <c r="Z2"/>
      <c r="AA2"/>
      <c r="AB2"/>
      <c r="AC2"/>
    </row>
    <row r="3" spans="1:11" s="176" customFormat="1" ht="14.25" customHeight="1" thickBot="1">
      <c r="A3" s="184"/>
      <c r="B3" s="286"/>
      <c r="C3" s="185"/>
      <c r="D3" s="175"/>
      <c r="E3" s="308" t="s">
        <v>229</v>
      </c>
      <c r="F3" s="308"/>
      <c r="G3" s="308"/>
      <c r="H3" s="308"/>
      <c r="I3" s="175"/>
      <c r="J3" s="5" t="s">
        <v>228</v>
      </c>
      <c r="K3" s="39"/>
    </row>
    <row r="4" spans="1:29" ht="14.25" customHeight="1">
      <c r="A4" s="184"/>
      <c r="B4" s="286"/>
      <c r="C4" s="177"/>
      <c r="D4" s="2"/>
      <c r="E4" s="2"/>
      <c r="F4" s="2"/>
      <c r="G4" s="3"/>
      <c r="H4" s="15"/>
      <c r="I4" s="15"/>
      <c r="J4" s="2"/>
      <c r="K4" s="2"/>
      <c r="L4"/>
      <c r="M4"/>
      <c r="N4"/>
      <c r="O4"/>
      <c r="P4"/>
      <c r="Q4"/>
      <c r="R4"/>
      <c r="S4"/>
      <c r="T4"/>
      <c r="U4"/>
      <c r="V4"/>
      <c r="W4"/>
      <c r="X4"/>
      <c r="Y4"/>
      <c r="Z4"/>
      <c r="AA4"/>
      <c r="AB4"/>
      <c r="AC4"/>
    </row>
    <row r="5" spans="1:29" ht="14.25" customHeight="1">
      <c r="A5" s="184"/>
      <c r="B5" s="286"/>
      <c r="C5" s="177"/>
      <c r="D5" s="5"/>
      <c r="E5" s="5" t="s">
        <v>154</v>
      </c>
      <c r="F5" s="2"/>
      <c r="G5" s="3"/>
      <c r="H5" s="15"/>
      <c r="I5" s="15"/>
      <c r="J5" s="2"/>
      <c r="K5" s="2"/>
      <c r="L5"/>
      <c r="M5"/>
      <c r="N5"/>
      <c r="O5"/>
      <c r="P5"/>
      <c r="Q5"/>
      <c r="R5"/>
      <c r="S5"/>
      <c r="T5"/>
      <c r="U5"/>
      <c r="V5"/>
      <c r="W5"/>
      <c r="X5"/>
      <c r="Y5"/>
      <c r="Z5"/>
      <c r="AA5"/>
      <c r="AB5"/>
      <c r="AC5"/>
    </row>
    <row r="6" spans="1:29" ht="14.25" customHeight="1" thickBot="1">
      <c r="A6" s="184"/>
      <c r="B6" s="286"/>
      <c r="C6" s="177"/>
      <c r="D6" s="5"/>
      <c r="E6" s="5"/>
      <c r="F6" s="2"/>
      <c r="G6" s="3"/>
      <c r="H6" s="15"/>
      <c r="I6" s="15"/>
      <c r="J6" s="2"/>
      <c r="K6" s="2"/>
      <c r="L6"/>
      <c r="M6"/>
      <c r="N6"/>
      <c r="O6"/>
      <c r="P6"/>
      <c r="Q6"/>
      <c r="R6"/>
      <c r="S6"/>
      <c r="T6"/>
      <c r="U6"/>
      <c r="V6"/>
      <c r="W6"/>
      <c r="X6"/>
      <c r="Y6"/>
      <c r="Z6"/>
      <c r="AA6"/>
      <c r="AB6"/>
      <c r="AC6"/>
    </row>
    <row r="7" spans="1:29" ht="14.25" customHeight="1" thickBot="1" thickTop="1">
      <c r="A7" s="184"/>
      <c r="B7" s="286"/>
      <c r="C7" s="177"/>
      <c r="D7" s="2"/>
      <c r="E7" s="2"/>
      <c r="F7" s="5" t="s">
        <v>160</v>
      </c>
      <c r="G7" s="37">
        <v>1</v>
      </c>
      <c r="H7" s="148"/>
      <c r="I7" s="145"/>
      <c r="J7" s="5" t="s">
        <v>222</v>
      </c>
      <c r="K7" s="2"/>
      <c r="L7"/>
      <c r="M7"/>
      <c r="N7"/>
      <c r="O7"/>
      <c r="P7"/>
      <c r="Q7"/>
      <c r="R7"/>
      <c r="S7"/>
      <c r="T7"/>
      <c r="U7"/>
      <c r="V7"/>
      <c r="W7"/>
      <c r="X7"/>
      <c r="Y7"/>
      <c r="Z7"/>
      <c r="AA7"/>
      <c r="AB7"/>
      <c r="AC7"/>
    </row>
    <row r="8" spans="1:29" ht="14.25" customHeight="1" thickBot="1" thickTop="1">
      <c r="A8" s="184"/>
      <c r="B8" s="286"/>
      <c r="C8" s="177"/>
      <c r="D8" s="2"/>
      <c r="E8" s="2"/>
      <c r="F8" s="5"/>
      <c r="G8" s="3"/>
      <c r="H8" s="15"/>
      <c r="I8" s="15"/>
      <c r="J8" s="2"/>
      <c r="K8" s="2"/>
      <c r="L8"/>
      <c r="M8"/>
      <c r="N8"/>
      <c r="O8"/>
      <c r="P8"/>
      <c r="Q8"/>
      <c r="R8"/>
      <c r="S8"/>
      <c r="T8"/>
      <c r="U8"/>
      <c r="V8"/>
      <c r="W8"/>
      <c r="X8"/>
      <c r="Y8"/>
      <c r="Z8"/>
      <c r="AA8"/>
      <c r="AB8"/>
      <c r="AC8"/>
    </row>
    <row r="9" spans="1:29" ht="14.25" customHeight="1" thickBot="1" thickTop="1">
      <c r="A9" s="184"/>
      <c r="B9" s="286"/>
      <c r="C9" s="177"/>
      <c r="D9" s="2"/>
      <c r="E9" s="2"/>
      <c r="F9" s="5" t="s">
        <v>161</v>
      </c>
      <c r="G9" s="37">
        <f>G7+1</f>
        <v>2</v>
      </c>
      <c r="H9" s="148"/>
      <c r="I9" s="145"/>
      <c r="J9" s="5" t="s">
        <v>223</v>
      </c>
      <c r="K9" s="2"/>
      <c r="L9"/>
      <c r="M9"/>
      <c r="N9"/>
      <c r="O9"/>
      <c r="P9"/>
      <c r="Q9"/>
      <c r="R9"/>
      <c r="S9"/>
      <c r="T9"/>
      <c r="U9"/>
      <c r="V9"/>
      <c r="W9"/>
      <c r="X9"/>
      <c r="Y9"/>
      <c r="Z9"/>
      <c r="AA9"/>
      <c r="AB9"/>
      <c r="AC9"/>
    </row>
    <row r="10" spans="1:29" ht="14.25" customHeight="1" thickBot="1" thickTop="1">
      <c r="A10" s="184"/>
      <c r="B10" s="286"/>
      <c r="C10" s="177"/>
      <c r="D10" s="2"/>
      <c r="E10" s="2"/>
      <c r="F10" s="2"/>
      <c r="G10" s="3"/>
      <c r="H10" s="69"/>
      <c r="I10" s="69"/>
      <c r="J10" s="2"/>
      <c r="K10" s="2"/>
      <c r="L10"/>
      <c r="M10"/>
      <c r="N10"/>
      <c r="O10"/>
      <c r="P10"/>
      <c r="Q10"/>
      <c r="R10"/>
      <c r="S10"/>
      <c r="T10"/>
      <c r="U10"/>
      <c r="V10"/>
      <c r="W10"/>
      <c r="X10"/>
      <c r="Y10"/>
      <c r="Z10"/>
      <c r="AA10"/>
      <c r="AB10"/>
      <c r="AC10"/>
    </row>
    <row r="11" spans="1:29" ht="14.25" customHeight="1" thickBot="1" thickTop="1">
      <c r="A11" s="184"/>
      <c r="B11" s="286"/>
      <c r="C11" s="177"/>
      <c r="D11" s="2"/>
      <c r="E11" s="2"/>
      <c r="F11" s="5" t="s">
        <v>138</v>
      </c>
      <c r="G11" s="37">
        <f>G9+1</f>
        <v>3</v>
      </c>
      <c r="H11" s="159"/>
      <c r="I11" s="75"/>
      <c r="J11" s="5" t="s">
        <v>155</v>
      </c>
      <c r="K11" s="2"/>
      <c r="L11"/>
      <c r="M11"/>
      <c r="N11"/>
      <c r="O11"/>
      <c r="P11"/>
      <c r="Q11"/>
      <c r="R11"/>
      <c r="S11"/>
      <c r="T11"/>
      <c r="U11"/>
      <c r="V11"/>
      <c r="W11"/>
      <c r="X11"/>
      <c r="Y11"/>
      <c r="Z11"/>
      <c r="AA11"/>
      <c r="AB11"/>
      <c r="AC11"/>
    </row>
    <row r="12" spans="1:29" ht="14.25" customHeight="1" thickBot="1" thickTop="1">
      <c r="A12" s="184"/>
      <c r="B12" s="286"/>
      <c r="C12" s="177"/>
      <c r="D12" s="2"/>
      <c r="E12" s="2"/>
      <c r="F12" s="2"/>
      <c r="G12" s="3"/>
      <c r="H12" s="38" t="s">
        <v>1</v>
      </c>
      <c r="I12" s="38"/>
      <c r="J12" s="2"/>
      <c r="K12" s="2"/>
      <c r="L12"/>
      <c r="M12"/>
      <c r="N12"/>
      <c r="O12"/>
      <c r="P12"/>
      <c r="Q12"/>
      <c r="R12"/>
      <c r="S12"/>
      <c r="T12"/>
      <c r="U12"/>
      <c r="V12"/>
      <c r="W12"/>
      <c r="X12"/>
      <c r="Y12"/>
      <c r="Z12"/>
      <c r="AA12"/>
      <c r="AB12"/>
      <c r="AC12"/>
    </row>
    <row r="13" spans="1:29" ht="14.25" customHeight="1" thickBot="1" thickTop="1">
      <c r="A13" s="184"/>
      <c r="B13" s="286"/>
      <c r="C13" s="177"/>
      <c r="D13" s="2"/>
      <c r="E13" s="2"/>
      <c r="F13" s="5" t="s">
        <v>152</v>
      </c>
      <c r="G13" s="37">
        <v>4</v>
      </c>
      <c r="H13" s="159"/>
      <c r="I13" s="75"/>
      <c r="J13" s="5" t="s">
        <v>156</v>
      </c>
      <c r="K13" s="40"/>
      <c r="L13"/>
      <c r="M13"/>
      <c r="N13"/>
      <c r="O13"/>
      <c r="P13"/>
      <c r="Q13"/>
      <c r="R13"/>
      <c r="S13"/>
      <c r="T13"/>
      <c r="U13"/>
      <c r="V13"/>
      <c r="W13"/>
      <c r="X13"/>
      <c r="Y13"/>
      <c r="Z13"/>
      <c r="AA13"/>
      <c r="AB13"/>
      <c r="AC13"/>
    </row>
    <row r="14" spans="1:29" ht="14.25" customHeight="1" thickTop="1">
      <c r="A14" s="184"/>
      <c r="B14" s="286"/>
      <c r="C14" s="177"/>
      <c r="D14" s="2"/>
      <c r="E14" s="2"/>
      <c r="F14" s="2"/>
      <c r="G14" s="3"/>
      <c r="H14" s="38" t="s">
        <v>157</v>
      </c>
      <c r="I14" s="38"/>
      <c r="J14" s="2"/>
      <c r="K14" s="2"/>
      <c r="L14"/>
      <c r="M14"/>
      <c r="N14"/>
      <c r="O14"/>
      <c r="P14"/>
      <c r="Q14"/>
      <c r="R14"/>
      <c r="S14"/>
      <c r="T14"/>
      <c r="U14"/>
      <c r="V14"/>
      <c r="W14"/>
      <c r="X14"/>
      <c r="Y14"/>
      <c r="Z14"/>
      <c r="AA14"/>
      <c r="AB14"/>
      <c r="AC14"/>
    </row>
    <row r="15" spans="1:29" ht="14.25" customHeight="1" thickBot="1">
      <c r="A15" s="184"/>
      <c r="B15" s="286"/>
      <c r="C15" s="177"/>
      <c r="D15" s="2"/>
      <c r="E15" s="1" t="s">
        <v>226</v>
      </c>
      <c r="F15" s="2"/>
      <c r="G15" s="3"/>
      <c r="H15" s="38"/>
      <c r="I15" s="38"/>
      <c r="J15" s="2"/>
      <c r="K15" s="2"/>
      <c r="L15"/>
      <c r="M15"/>
      <c r="N15"/>
      <c r="O15"/>
      <c r="P15"/>
      <c r="Q15"/>
      <c r="R15"/>
      <c r="S15"/>
      <c r="T15"/>
      <c r="U15"/>
      <c r="V15"/>
      <c r="W15"/>
      <c r="X15"/>
      <c r="Y15"/>
      <c r="Z15"/>
      <c r="AA15"/>
      <c r="AB15"/>
      <c r="AC15"/>
    </row>
    <row r="16" spans="1:29" ht="14.25" customHeight="1" thickBot="1" thickTop="1">
      <c r="A16" s="184" t="s">
        <v>220</v>
      </c>
      <c r="B16" s="286"/>
      <c r="C16" s="177"/>
      <c r="D16" s="2"/>
      <c r="E16" s="2"/>
      <c r="F16" s="2"/>
      <c r="G16" s="37">
        <v>5</v>
      </c>
      <c r="H16" s="159" t="s">
        <v>136</v>
      </c>
      <c r="I16" s="144"/>
      <c r="J16" s="5"/>
      <c r="K16" s="2"/>
      <c r="L16"/>
      <c r="M16"/>
      <c r="N16"/>
      <c r="O16"/>
      <c r="P16"/>
      <c r="Q16"/>
      <c r="R16"/>
      <c r="S16"/>
      <c r="T16"/>
      <c r="U16"/>
      <c r="V16"/>
      <c r="W16"/>
      <c r="X16"/>
      <c r="Y16"/>
      <c r="Z16"/>
      <c r="AA16"/>
      <c r="AB16"/>
      <c r="AC16"/>
    </row>
    <row r="17" spans="1:29" ht="14.25" customHeight="1" thickBot="1" thickTop="1">
      <c r="A17" s="184"/>
      <c r="B17" s="286"/>
      <c r="C17" s="177"/>
      <c r="D17" s="5"/>
      <c r="E17" s="5"/>
      <c r="F17" s="2"/>
      <c r="G17" s="3"/>
      <c r="H17" s="15"/>
      <c r="I17" s="15"/>
      <c r="J17" s="2"/>
      <c r="K17" s="2"/>
      <c r="L17"/>
      <c r="M17"/>
      <c r="N17"/>
      <c r="O17"/>
      <c r="P17"/>
      <c r="Q17"/>
      <c r="R17"/>
      <c r="S17"/>
      <c r="T17"/>
      <c r="U17"/>
      <c r="V17"/>
      <c r="W17"/>
      <c r="X17"/>
      <c r="Y17"/>
      <c r="Z17"/>
      <c r="AA17"/>
      <c r="AB17"/>
      <c r="AC17"/>
    </row>
    <row r="18" spans="1:29" ht="14.25" customHeight="1" thickBot="1" thickTop="1">
      <c r="A18" s="184" t="s">
        <v>221</v>
      </c>
      <c r="B18" s="286"/>
      <c r="C18" s="177"/>
      <c r="D18" s="2"/>
      <c r="E18" s="2"/>
      <c r="F18" s="1" t="s">
        <v>140</v>
      </c>
      <c r="G18" s="37">
        <v>6</v>
      </c>
      <c r="H18" s="149" t="s">
        <v>308</v>
      </c>
      <c r="I18" s="144"/>
      <c r="J18" s="5"/>
      <c r="K18" s="2"/>
      <c r="L18"/>
      <c r="M18"/>
      <c r="N18"/>
      <c r="O18"/>
      <c r="P18"/>
      <c r="Q18"/>
      <c r="R18"/>
      <c r="S18"/>
      <c r="T18"/>
      <c r="U18"/>
      <c r="V18"/>
      <c r="W18"/>
      <c r="X18"/>
      <c r="Y18"/>
      <c r="Z18"/>
      <c r="AA18"/>
      <c r="AB18"/>
      <c r="AC18"/>
    </row>
    <row r="19" spans="1:29" ht="14.25" customHeight="1" thickBot="1" thickTop="1">
      <c r="A19" s="184" t="s">
        <v>90</v>
      </c>
      <c r="B19" s="286"/>
      <c r="C19" s="177"/>
      <c r="D19" s="2"/>
      <c r="E19" s="1"/>
      <c r="F19" s="13" t="s">
        <v>135</v>
      </c>
      <c r="G19" s="37">
        <v>7</v>
      </c>
      <c r="H19" s="149" t="s">
        <v>20</v>
      </c>
      <c r="I19" s="144"/>
      <c r="J19" s="5"/>
      <c r="K19" s="2"/>
      <c r="L19"/>
      <c r="M19"/>
      <c r="N19"/>
      <c r="O19"/>
      <c r="P19"/>
      <c r="Q19"/>
      <c r="R19"/>
      <c r="S19"/>
      <c r="T19"/>
      <c r="U19"/>
      <c r="V19"/>
      <c r="W19"/>
      <c r="X19"/>
      <c r="Y19"/>
      <c r="Z19"/>
      <c r="AA19"/>
      <c r="AB19"/>
      <c r="AC19"/>
    </row>
    <row r="20" spans="1:29" ht="14.25" customHeight="1" thickBot="1" thickTop="1">
      <c r="A20" s="184"/>
      <c r="B20" s="286"/>
      <c r="C20" s="177"/>
      <c r="D20" s="2"/>
      <c r="E20" s="1"/>
      <c r="F20" s="13" t="s">
        <v>158</v>
      </c>
      <c r="G20" s="37">
        <v>8</v>
      </c>
      <c r="H20" s="161"/>
      <c r="I20" s="146" t="str">
        <f>IF(H19="電気","kWh","kl")</f>
        <v>kl</v>
      </c>
      <c r="J20" s="5"/>
      <c r="K20" s="2"/>
      <c r="L20"/>
      <c r="M20"/>
      <c r="N20"/>
      <c r="O20"/>
      <c r="P20"/>
      <c r="Q20"/>
      <c r="R20"/>
      <c r="S20"/>
      <c r="T20"/>
      <c r="U20"/>
      <c r="V20"/>
      <c r="W20"/>
      <c r="X20"/>
      <c r="Y20"/>
      <c r="Z20"/>
      <c r="AA20"/>
      <c r="AB20"/>
      <c r="AC20"/>
    </row>
    <row r="21" spans="1:29" ht="14.25" customHeight="1" hidden="1" thickBot="1" thickTop="1">
      <c r="A21" s="184"/>
      <c r="B21" s="286"/>
      <c r="C21" s="177"/>
      <c r="D21" s="2"/>
      <c r="E21" s="1"/>
      <c r="F21" s="13"/>
      <c r="G21" s="37">
        <f>G20+1</f>
        <v>9</v>
      </c>
      <c r="H21" s="157"/>
      <c r="I21" s="146"/>
      <c r="J21" s="5"/>
      <c r="K21" s="2"/>
      <c r="L21"/>
      <c r="M21"/>
      <c r="N21"/>
      <c r="O21"/>
      <c r="P21"/>
      <c r="Q21"/>
      <c r="R21"/>
      <c r="S21"/>
      <c r="T21"/>
      <c r="U21"/>
      <c r="V21"/>
      <c r="W21"/>
      <c r="X21"/>
      <c r="Y21"/>
      <c r="Z21"/>
      <c r="AA21"/>
      <c r="AB21"/>
      <c r="AC21"/>
    </row>
    <row r="22" spans="1:29" ht="14.25" customHeight="1" hidden="1" thickBot="1" thickTop="1">
      <c r="A22" s="184"/>
      <c r="B22" s="286"/>
      <c r="C22" s="177"/>
      <c r="D22" s="2"/>
      <c r="E22" s="1"/>
      <c r="F22" s="13"/>
      <c r="G22" s="37"/>
      <c r="H22" s="150"/>
      <c r="I22"/>
      <c r="J22" s="5"/>
      <c r="K22" s="2"/>
      <c r="L22"/>
      <c r="M22"/>
      <c r="N22"/>
      <c r="O22"/>
      <c r="P22"/>
      <c r="Q22"/>
      <c r="R22"/>
      <c r="S22"/>
      <c r="T22"/>
      <c r="U22"/>
      <c r="V22"/>
      <c r="W22"/>
      <c r="X22"/>
      <c r="Y22"/>
      <c r="Z22"/>
      <c r="AA22"/>
      <c r="AB22"/>
      <c r="AC22"/>
    </row>
    <row r="23" spans="1:29" ht="14.25" customHeight="1" hidden="1" thickBot="1" thickTop="1">
      <c r="A23" s="184"/>
      <c r="B23" s="286"/>
      <c r="C23" s="177"/>
      <c r="D23" s="2"/>
      <c r="E23" s="1"/>
      <c r="F23" s="147"/>
      <c r="G23" s="37"/>
      <c r="H23" s="206" t="s">
        <v>309</v>
      </c>
      <c r="I23" s="15"/>
      <c r="J23" s="5"/>
      <c r="K23" s="2"/>
      <c r="L23"/>
      <c r="M23"/>
      <c r="N23"/>
      <c r="O23"/>
      <c r="P23"/>
      <c r="Q23"/>
      <c r="R23"/>
      <c r="S23"/>
      <c r="T23"/>
      <c r="U23"/>
      <c r="V23"/>
      <c r="W23"/>
      <c r="X23"/>
      <c r="Y23"/>
      <c r="Z23"/>
      <c r="AA23"/>
      <c r="AB23"/>
      <c r="AC23"/>
    </row>
    <row r="24" spans="1:29" ht="14.25" customHeight="1" hidden="1" thickBot="1" thickTop="1">
      <c r="A24" s="184"/>
      <c r="B24" s="286"/>
      <c r="C24" s="177"/>
      <c r="D24" s="2"/>
      <c r="E24" s="2"/>
      <c r="F24" s="2"/>
      <c r="G24" s="3"/>
      <c r="H24" s="151"/>
      <c r="I24" s="70"/>
      <c r="J24" s="2"/>
      <c r="K24" s="2"/>
      <c r="L24"/>
      <c r="M24"/>
      <c r="N24"/>
      <c r="O24"/>
      <c r="P24"/>
      <c r="Q24"/>
      <c r="R24"/>
      <c r="S24"/>
      <c r="T24"/>
      <c r="U24"/>
      <c r="V24"/>
      <c r="W24"/>
      <c r="X24"/>
      <c r="Y24"/>
      <c r="Z24"/>
      <c r="AA24"/>
      <c r="AB24"/>
      <c r="AC24"/>
    </row>
    <row r="25" spans="1:29" ht="14.25" customHeight="1" hidden="1" thickBot="1" thickTop="1">
      <c r="A25" s="184"/>
      <c r="B25" s="286"/>
      <c r="C25" s="177"/>
      <c r="D25" s="2"/>
      <c r="E25" s="1"/>
      <c r="F25" s="153" t="s">
        <v>159</v>
      </c>
      <c r="G25" s="37">
        <f>G21+1</f>
        <v>10</v>
      </c>
      <c r="H25" s="158">
        <f>H22</f>
        <v>0</v>
      </c>
      <c r="I25" s="74"/>
      <c r="J25" s="71"/>
      <c r="K25" s="2"/>
      <c r="L25"/>
      <c r="M25"/>
      <c r="N25"/>
      <c r="O25"/>
      <c r="P25"/>
      <c r="Q25"/>
      <c r="R25"/>
      <c r="S25"/>
      <c r="T25"/>
      <c r="U25"/>
      <c r="V25"/>
      <c r="W25"/>
      <c r="X25"/>
      <c r="Y25"/>
      <c r="Z25"/>
      <c r="AA25"/>
      <c r="AB25"/>
      <c r="AC25"/>
    </row>
    <row r="26" spans="1:29" ht="14.25" customHeight="1" hidden="1" thickTop="1">
      <c r="A26" s="184"/>
      <c r="B26" s="286"/>
      <c r="C26" s="177"/>
      <c r="D26" s="2"/>
      <c r="E26" s="2"/>
      <c r="F26" s="2"/>
      <c r="G26" s="3"/>
      <c r="H26" s="38" t="str">
        <f>IF(H18="改良トンキロ法","l／ｔｋｍ","t-CO2／ｋl")</f>
        <v>t-CO2／ｋl</v>
      </c>
      <c r="I26" s="38"/>
      <c r="J26" s="70"/>
      <c r="K26" s="2"/>
      <c r="L26"/>
      <c r="M26"/>
      <c r="N26"/>
      <c r="O26"/>
      <c r="P26"/>
      <c r="Q26"/>
      <c r="R26"/>
      <c r="S26"/>
      <c r="T26"/>
      <c r="U26"/>
      <c r="V26"/>
      <c r="W26"/>
      <c r="X26"/>
      <c r="Y26"/>
      <c r="Z26"/>
      <c r="AA26"/>
      <c r="AB26"/>
      <c r="AC26"/>
    </row>
    <row r="27" spans="1:29" ht="15" thickTop="1">
      <c r="A27" s="41" t="s">
        <v>214</v>
      </c>
      <c r="B27" s="42"/>
      <c r="C27" s="43"/>
      <c r="D27" s="43"/>
      <c r="E27" s="44"/>
      <c r="F27" s="45"/>
      <c r="G27" s="46"/>
      <c r="H27" s="44"/>
      <c r="I27" s="45"/>
      <c r="J27" s="46"/>
      <c r="K27" s="44"/>
      <c r="L27" s="44"/>
      <c r="M27" s="44"/>
      <c r="N27" s="44"/>
      <c r="O27" s="45"/>
      <c r="P27" s="47"/>
      <c r="Q27" s="45"/>
      <c r="R27" s="47"/>
      <c r="S27" s="44"/>
      <c r="T27" s="48"/>
      <c r="U27" s="48"/>
      <c r="V27" s="49"/>
      <c r="W27" s="10"/>
      <c r="X27" s="12"/>
      <c r="Y27"/>
      <c r="Z27"/>
      <c r="AA27"/>
      <c r="AB27"/>
      <c r="AC27"/>
    </row>
    <row r="28" spans="3:29" ht="16.5" customHeight="1">
      <c r="C28" s="41" t="s">
        <v>232</v>
      </c>
      <c r="F28" s="2"/>
      <c r="G28" s="13" t="s">
        <v>0</v>
      </c>
      <c r="H28" s="2"/>
      <c r="I28" s="2"/>
      <c r="J28" s="7"/>
      <c r="K28" s="8"/>
      <c r="L28" s="3"/>
      <c r="M28" s="7"/>
      <c r="N28" s="8"/>
      <c r="O28" s="3"/>
      <c r="P28" s="7"/>
      <c r="Q28" s="7"/>
      <c r="R28" s="7"/>
      <c r="S28" s="7"/>
      <c r="T28" s="8"/>
      <c r="U28" s="9"/>
      <c r="V28" s="8"/>
      <c r="W28" s="9"/>
      <c r="Y28" s="10"/>
      <c r="Z28" s="10"/>
      <c r="AA28" s="163"/>
      <c r="AB28" s="10"/>
      <c r="AC28" s="12"/>
    </row>
    <row r="29" spans="1:29" ht="15" customHeight="1" thickBot="1">
      <c r="A29" s="178" t="s">
        <v>209</v>
      </c>
      <c r="B29" s="178" t="s">
        <v>5</v>
      </c>
      <c r="C29" s="179" t="s">
        <v>210</v>
      </c>
      <c r="E29" s="152"/>
      <c r="F29" s="2"/>
      <c r="I29" s="2"/>
      <c r="J29" s="14" t="s">
        <v>166</v>
      </c>
      <c r="K29" s="8"/>
      <c r="L29" s="15"/>
      <c r="M29" s="15"/>
      <c r="N29" s="8"/>
      <c r="O29" s="3"/>
      <c r="P29" s="56"/>
      <c r="Q29" s="14"/>
      <c r="R29" s="154"/>
      <c r="S29" s="154" t="s">
        <v>167</v>
      </c>
      <c r="T29" s="8"/>
      <c r="U29" s="9"/>
      <c r="V29" s="8"/>
      <c r="W29" s="9"/>
      <c r="X29" s="14" t="s">
        <v>6</v>
      </c>
      <c r="Y29" s="10"/>
      <c r="Z29" s="10"/>
      <c r="AA29" s="163"/>
      <c r="AB29" s="10"/>
      <c r="AC29" s="12"/>
    </row>
    <row r="30" spans="1:29" ht="15" customHeight="1" thickBot="1" thickTop="1">
      <c r="A30">
        <v>10</v>
      </c>
      <c r="B30">
        <v>12</v>
      </c>
      <c r="C30">
        <v>18</v>
      </c>
      <c r="D30">
        <f>IF(ISERROR(A30*B30),0,A30*B30)</f>
        <v>120</v>
      </c>
      <c r="E30" s="183">
        <f>X30</f>
        <v>0</v>
      </c>
      <c r="F30" s="15"/>
      <c r="G30" s="15"/>
      <c r="H30" s="15"/>
      <c r="I30" s="50">
        <v>8</v>
      </c>
      <c r="J30" s="162">
        <f>A32</f>
        <v>19</v>
      </c>
      <c r="L30" s="15"/>
      <c r="M30" s="15"/>
      <c r="N30" s="4"/>
      <c r="O30" s="3"/>
      <c r="Q30" s="4" t="s">
        <v>7</v>
      </c>
      <c r="R30" s="50"/>
      <c r="S30" s="156">
        <f>IF(ISERROR(VLOOKUP(C30,'係数関連'!$C$3:$P$11,13,FALSE)),"",VLOOKUP(C30,'係数関連'!$C$3:$P$11,13,FALSE))</f>
      </c>
      <c r="T30" s="53"/>
      <c r="U30" s="73"/>
      <c r="V30" s="53" t="s">
        <v>8</v>
      </c>
      <c r="W30" s="54">
        <v>31</v>
      </c>
      <c r="X30" s="55">
        <f>IF(ISERROR(J30*S30),0,J30*S30)</f>
        <v>0</v>
      </c>
      <c r="Y30" s="16"/>
      <c r="Z30" s="56"/>
      <c r="AA30" s="163"/>
      <c r="AB30" s="19"/>
      <c r="AC30" s="17"/>
    </row>
    <row r="31" spans="1:29" ht="15" customHeight="1" thickTop="1">
      <c r="A31" s="178">
        <v>19</v>
      </c>
      <c r="B31" s="178">
        <v>20</v>
      </c>
      <c r="C31" s="178">
        <v>21</v>
      </c>
      <c r="F31" s="20"/>
      <c r="G31" s="20"/>
      <c r="H31" s="20"/>
      <c r="I31" s="20"/>
      <c r="J31" s="170" t="s">
        <v>168</v>
      </c>
      <c r="K31" s="22"/>
      <c r="L31" s="23"/>
      <c r="M31" s="21"/>
      <c r="N31" s="22"/>
      <c r="O31" s="23"/>
      <c r="P31" s="70"/>
      <c r="Q31" s="70"/>
      <c r="R31" s="70"/>
      <c r="S31" s="169" t="s">
        <v>169</v>
      </c>
      <c r="T31" s="22"/>
      <c r="U31" s="58"/>
      <c r="V31" s="22"/>
      <c r="W31" s="58"/>
      <c r="X31" s="169" t="s">
        <v>18</v>
      </c>
      <c r="Y31" s="25"/>
      <c r="Z31" s="25"/>
      <c r="AA31" s="26"/>
      <c r="AB31" s="25"/>
      <c r="AC31" s="24"/>
    </row>
    <row r="32" spans="1:29" ht="15" customHeight="1">
      <c r="A32">
        <v>19</v>
      </c>
      <c r="B32">
        <v>20</v>
      </c>
      <c r="C32">
        <v>24</v>
      </c>
      <c r="F32" s="20"/>
      <c r="G32" s="20"/>
      <c r="H32" s="20"/>
      <c r="I32" s="20"/>
      <c r="J32" s="170"/>
      <c r="K32" s="22"/>
      <c r="L32" s="23"/>
      <c r="M32" s="21"/>
      <c r="N32" s="22"/>
      <c r="O32" s="23"/>
      <c r="P32" s="70"/>
      <c r="Q32" s="70"/>
      <c r="R32" s="70"/>
      <c r="S32" s="169"/>
      <c r="T32" s="22"/>
      <c r="U32" s="58"/>
      <c r="V32" s="22"/>
      <c r="W32" s="58"/>
      <c r="X32" s="169"/>
      <c r="Y32" s="25"/>
      <c r="Z32" s="25"/>
      <c r="AA32" s="26"/>
      <c r="AB32" s="25"/>
      <c r="AC32" s="24"/>
    </row>
    <row r="33" spans="3:29" ht="16.5" customHeight="1">
      <c r="C33" s="41" t="s">
        <v>233</v>
      </c>
      <c r="F33" s="2"/>
      <c r="G33" s="13" t="s">
        <v>0</v>
      </c>
      <c r="H33" s="2"/>
      <c r="I33" s="2"/>
      <c r="J33" s="7"/>
      <c r="K33" s="8"/>
      <c r="L33" s="3"/>
      <c r="M33" s="7"/>
      <c r="N33" s="8"/>
      <c r="O33" s="3"/>
      <c r="P33" s="7"/>
      <c r="Q33" s="7"/>
      <c r="R33" s="7"/>
      <c r="S33" s="7"/>
      <c r="T33" s="8"/>
      <c r="U33" s="9"/>
      <c r="V33" s="8"/>
      <c r="W33" s="9"/>
      <c r="Y33" s="10"/>
      <c r="Z33" s="10"/>
      <c r="AA33" s="163"/>
      <c r="AB33" s="10"/>
      <c r="AC33" s="12"/>
    </row>
    <row r="34" spans="1:29" ht="15" customHeight="1" thickBot="1">
      <c r="A34" s="178" t="s">
        <v>209</v>
      </c>
      <c r="B34" s="178" t="s">
        <v>5</v>
      </c>
      <c r="C34" s="179" t="s">
        <v>210</v>
      </c>
      <c r="F34" s="2"/>
      <c r="I34" s="2"/>
      <c r="J34" s="14" t="s">
        <v>143</v>
      </c>
      <c r="K34" s="8"/>
      <c r="L34" s="3"/>
      <c r="M34" s="14" t="s">
        <v>170</v>
      </c>
      <c r="N34" s="8"/>
      <c r="O34" s="56"/>
      <c r="Q34" s="14"/>
      <c r="R34" s="154"/>
      <c r="S34" s="154" t="s">
        <v>171</v>
      </c>
      <c r="T34" s="8"/>
      <c r="U34" s="9"/>
      <c r="V34" s="8"/>
      <c r="W34" s="9"/>
      <c r="X34" s="14" t="s">
        <v>6</v>
      </c>
      <c r="Y34" s="10"/>
      <c r="Z34" s="10"/>
      <c r="AA34" s="163"/>
      <c r="AB34" s="10"/>
      <c r="AC34" s="12"/>
    </row>
    <row r="35" spans="1:29" ht="15" customHeight="1" thickBot="1" thickTop="1">
      <c r="A35">
        <v>10</v>
      </c>
      <c r="B35">
        <v>12</v>
      </c>
      <c r="C35">
        <v>18</v>
      </c>
      <c r="D35">
        <f>IF(ISERROR(A35*B35),0,A35*B35)</f>
        <v>120</v>
      </c>
      <c r="E35" s="183">
        <f>X35</f>
        <v>0</v>
      </c>
      <c r="F35" s="15"/>
      <c r="G35" s="15"/>
      <c r="H35" s="15"/>
      <c r="I35" s="50"/>
      <c r="J35" s="162">
        <f>A35*B37</f>
        <v>200</v>
      </c>
      <c r="K35" s="53" t="s">
        <v>172</v>
      </c>
      <c r="L35" s="50">
        <v>8</v>
      </c>
      <c r="M35" s="162">
        <f>A37</f>
        <v>19</v>
      </c>
      <c r="N35" s="4"/>
      <c r="O35" s="3"/>
      <c r="Q35" s="4" t="s">
        <v>7</v>
      </c>
      <c r="R35" s="50"/>
      <c r="S35" s="156">
        <f>IF(ISERROR(VLOOKUP(C35,'係数関連'!$C$3:$P$11,13,FALSE)),"",VLOOKUP(C35,'係数関連'!$C$3:$P$11,13,FALSE))</f>
      </c>
      <c r="T35" s="53" t="s">
        <v>173</v>
      </c>
      <c r="U35" s="73" t="s">
        <v>174</v>
      </c>
      <c r="V35" s="53" t="s">
        <v>8</v>
      </c>
      <c r="W35" s="54">
        <v>31</v>
      </c>
      <c r="X35" s="55">
        <f>IF(ISERROR(J35/M35*S35/1000),0,J35/M35*S35/1000)</f>
        <v>0</v>
      </c>
      <c r="Y35" s="16"/>
      <c r="Z35" s="56"/>
      <c r="AA35" s="163"/>
      <c r="AB35" s="19"/>
      <c r="AC35" s="17"/>
    </row>
    <row r="36" spans="1:29" ht="15" customHeight="1" thickTop="1">
      <c r="A36" s="178">
        <v>19</v>
      </c>
      <c r="B36" s="178">
        <v>20</v>
      </c>
      <c r="C36" s="178">
        <v>21</v>
      </c>
      <c r="F36" s="20"/>
      <c r="G36" s="20"/>
      <c r="H36" s="20"/>
      <c r="I36" s="20"/>
      <c r="J36" s="170" t="s">
        <v>175</v>
      </c>
      <c r="K36" s="22"/>
      <c r="L36" s="23"/>
      <c r="M36" s="170" t="s">
        <v>176</v>
      </c>
      <c r="N36" s="22"/>
      <c r="O36" s="23"/>
      <c r="P36" s="70"/>
      <c r="Q36" s="70"/>
      <c r="R36" s="70"/>
      <c r="S36" s="169" t="s">
        <v>177</v>
      </c>
      <c r="T36" s="22"/>
      <c r="U36" s="58"/>
      <c r="V36" s="22"/>
      <c r="W36" s="58"/>
      <c r="X36" s="169" t="s">
        <v>18</v>
      </c>
      <c r="Y36" s="25"/>
      <c r="Z36" s="25"/>
      <c r="AA36" s="26"/>
      <c r="AB36" s="25"/>
      <c r="AC36" s="24"/>
    </row>
    <row r="37" spans="1:29" ht="15" customHeight="1">
      <c r="A37">
        <v>19</v>
      </c>
      <c r="B37">
        <v>20</v>
      </c>
      <c r="C37">
        <v>24</v>
      </c>
      <c r="F37" s="20"/>
      <c r="G37" s="20"/>
      <c r="H37" s="20"/>
      <c r="I37" s="20"/>
      <c r="J37" s="170"/>
      <c r="K37" s="22"/>
      <c r="L37" s="23"/>
      <c r="M37" s="170"/>
      <c r="N37" s="22"/>
      <c r="O37" s="23"/>
      <c r="P37" s="70"/>
      <c r="Q37" s="70"/>
      <c r="R37" s="70"/>
      <c r="S37" s="169"/>
      <c r="T37" s="22"/>
      <c r="U37" s="58"/>
      <c r="V37" s="22"/>
      <c r="W37" s="58"/>
      <c r="X37" s="169"/>
      <c r="Y37" s="25"/>
      <c r="Z37" s="25"/>
      <c r="AA37" s="26"/>
      <c r="AB37" s="25"/>
      <c r="AC37" s="24"/>
    </row>
    <row r="38" spans="3:29" ht="16.5" customHeight="1">
      <c r="C38" s="41" t="s">
        <v>234</v>
      </c>
      <c r="F38" s="2"/>
      <c r="G38" s="13" t="s">
        <v>0</v>
      </c>
      <c r="H38" s="2"/>
      <c r="I38" s="2"/>
      <c r="J38" s="7"/>
      <c r="K38" s="8"/>
      <c r="L38" s="3"/>
      <c r="M38" s="7"/>
      <c r="N38" s="8"/>
      <c r="O38" s="3"/>
      <c r="P38" s="7"/>
      <c r="Q38" s="7"/>
      <c r="R38" s="7"/>
      <c r="S38" s="7"/>
      <c r="T38" s="8"/>
      <c r="U38" s="9"/>
      <c r="V38" s="8"/>
      <c r="W38" s="9"/>
      <c r="Y38" s="10"/>
      <c r="Z38" s="10"/>
      <c r="AA38" s="163"/>
      <c r="AB38" s="10"/>
      <c r="AC38" s="12"/>
    </row>
    <row r="39" spans="1:29" ht="15" customHeight="1" thickBot="1">
      <c r="A39" s="178" t="s">
        <v>209</v>
      </c>
      <c r="B39" s="178" t="s">
        <v>5</v>
      </c>
      <c r="C39" s="179" t="s">
        <v>210</v>
      </c>
      <c r="F39" s="2"/>
      <c r="I39" s="2"/>
      <c r="J39" s="14" t="s">
        <v>4</v>
      </c>
      <c r="K39" s="8"/>
      <c r="L39" s="3"/>
      <c r="M39" s="14" t="s">
        <v>5</v>
      </c>
      <c r="N39" s="8"/>
      <c r="O39" s="56" t="s">
        <v>141</v>
      </c>
      <c r="Q39" s="14"/>
      <c r="R39" s="154"/>
      <c r="S39" s="154" t="s">
        <v>171</v>
      </c>
      <c r="T39" s="8"/>
      <c r="U39" s="9"/>
      <c r="V39" s="8"/>
      <c r="W39" s="9"/>
      <c r="X39" s="14" t="s">
        <v>6</v>
      </c>
      <c r="Y39" s="10"/>
      <c r="Z39" s="10"/>
      <c r="AA39" s="163"/>
      <c r="AB39" s="10"/>
      <c r="AC39" s="12"/>
    </row>
    <row r="40" spans="1:29" ht="15" customHeight="1" thickBot="1" thickTop="1">
      <c r="A40">
        <v>10</v>
      </c>
      <c r="B40">
        <v>12</v>
      </c>
      <c r="C40">
        <v>18</v>
      </c>
      <c r="D40">
        <f>IF(ISERROR(A40*B40),0,A40*B40)</f>
        <v>120</v>
      </c>
      <c r="E40" s="183">
        <f>X40</f>
        <v>0</v>
      </c>
      <c r="F40" s="15"/>
      <c r="G40" s="15"/>
      <c r="H40" s="15"/>
      <c r="I40" s="50">
        <v>3</v>
      </c>
      <c r="J40" s="162">
        <f>A40</f>
        <v>10</v>
      </c>
      <c r="K40" s="4" t="s">
        <v>7</v>
      </c>
      <c r="L40" s="52">
        <v>4</v>
      </c>
      <c r="M40" s="162">
        <f>B40</f>
        <v>12</v>
      </c>
      <c r="N40" s="4" t="s">
        <v>7</v>
      </c>
      <c r="O40" s="50">
        <v>10</v>
      </c>
      <c r="P40" s="160">
        <f>C42</f>
        <v>24</v>
      </c>
      <c r="Q40" s="4" t="s">
        <v>7</v>
      </c>
      <c r="R40" s="50"/>
      <c r="S40" s="156">
        <f>IF(ISERROR(VLOOKUP(C40,'係数関連'!$C$3:$P$11,13,FALSE)),"",VLOOKUP(C40,'係数関連'!$C$3:$P$11,13,FALSE))</f>
      </c>
      <c r="T40" s="53" t="s">
        <v>173</v>
      </c>
      <c r="U40" s="73" t="s">
        <v>174</v>
      </c>
      <c r="V40" s="53" t="s">
        <v>8</v>
      </c>
      <c r="W40" s="54">
        <v>31</v>
      </c>
      <c r="X40" s="55">
        <f>IF(ISERROR(J40*M40*P40*S40/1000),0,J40*M40*P40*S40/1000)</f>
        <v>0</v>
      </c>
      <c r="Y40" s="16"/>
      <c r="Z40" s="56"/>
      <c r="AA40" s="163"/>
      <c r="AB40" s="19"/>
      <c r="AC40" s="17"/>
    </row>
    <row r="41" spans="1:29" ht="15" customHeight="1" thickTop="1">
      <c r="A41" s="178">
        <v>19</v>
      </c>
      <c r="B41" s="178">
        <v>20</v>
      </c>
      <c r="C41" s="178">
        <v>21</v>
      </c>
      <c r="F41" s="20"/>
      <c r="G41" s="20"/>
      <c r="H41" s="20"/>
      <c r="I41" s="20"/>
      <c r="J41" s="170" t="s">
        <v>175</v>
      </c>
      <c r="K41" s="22"/>
      <c r="L41" s="23"/>
      <c r="M41" s="171" t="s">
        <v>178</v>
      </c>
      <c r="N41" s="22"/>
      <c r="O41" s="23"/>
      <c r="P41" s="169" t="s">
        <v>142</v>
      </c>
      <c r="Q41" s="70"/>
      <c r="R41" s="70"/>
      <c r="S41" s="169" t="s">
        <v>177</v>
      </c>
      <c r="T41" s="22"/>
      <c r="U41" s="58"/>
      <c r="V41" s="22"/>
      <c r="W41" s="58"/>
      <c r="X41" s="169" t="s">
        <v>18</v>
      </c>
      <c r="Y41" s="25"/>
      <c r="Z41" s="25"/>
      <c r="AA41" s="26"/>
      <c r="AB41" s="25"/>
      <c r="AC41" s="24"/>
    </row>
    <row r="42" spans="1:29" ht="15" customHeight="1">
      <c r="A42">
        <v>19</v>
      </c>
      <c r="B42">
        <v>20</v>
      </c>
      <c r="C42">
        <v>24</v>
      </c>
      <c r="F42" s="20"/>
      <c r="G42" s="20"/>
      <c r="H42" s="20"/>
      <c r="I42" s="20"/>
      <c r="J42" s="170"/>
      <c r="K42" s="22"/>
      <c r="L42" s="23"/>
      <c r="M42" s="171"/>
      <c r="N42" s="22"/>
      <c r="O42" s="23"/>
      <c r="P42" s="169"/>
      <c r="Q42" s="70"/>
      <c r="R42" s="70"/>
      <c r="S42" s="169"/>
      <c r="T42" s="22"/>
      <c r="U42" s="58"/>
      <c r="V42" s="22"/>
      <c r="W42" s="58"/>
      <c r="X42" s="169"/>
      <c r="Y42" s="25"/>
      <c r="Z42" s="25"/>
      <c r="AA42" s="26"/>
      <c r="AB42" s="25"/>
      <c r="AC42" s="24"/>
    </row>
    <row r="43" spans="3:29" ht="16.5" customHeight="1">
      <c r="C43" s="41" t="s">
        <v>237</v>
      </c>
      <c r="F43" s="2"/>
      <c r="G43" s="13" t="s">
        <v>0</v>
      </c>
      <c r="H43" s="2"/>
      <c r="I43" s="2"/>
      <c r="J43" s="7"/>
      <c r="K43" s="8"/>
      <c r="L43" s="3"/>
      <c r="M43" s="7"/>
      <c r="N43" s="8"/>
      <c r="O43" s="3"/>
      <c r="P43" s="7"/>
      <c r="Q43" s="7"/>
      <c r="R43" s="7"/>
      <c r="S43" s="7"/>
      <c r="T43" s="8"/>
      <c r="U43" s="9"/>
      <c r="V43" s="8"/>
      <c r="W43" s="9"/>
      <c r="Y43" s="10"/>
      <c r="Z43" s="10"/>
      <c r="AA43" s="163"/>
      <c r="AB43" s="10"/>
      <c r="AC43" s="12"/>
    </row>
    <row r="44" spans="1:29" ht="15" customHeight="1" thickBot="1">
      <c r="A44" s="178" t="s">
        <v>209</v>
      </c>
      <c r="B44" s="178" t="s">
        <v>5</v>
      </c>
      <c r="C44" s="179" t="s">
        <v>210</v>
      </c>
      <c r="F44" s="2"/>
      <c r="I44" s="2"/>
      <c r="J44" s="14" t="s">
        <v>4</v>
      </c>
      <c r="K44" s="8"/>
      <c r="L44" s="3"/>
      <c r="M44" s="14" t="s">
        <v>5</v>
      </c>
      <c r="N44" s="14"/>
      <c r="O44" s="154"/>
      <c r="P44" s="155" t="s">
        <v>129</v>
      </c>
      <c r="T44" s="8"/>
      <c r="U44" s="9"/>
      <c r="V44" s="8"/>
      <c r="W44" s="9"/>
      <c r="X44" s="14" t="s">
        <v>6</v>
      </c>
      <c r="Y44" s="10"/>
      <c r="Z44" s="10"/>
      <c r="AA44" s="163"/>
      <c r="AB44" s="10"/>
      <c r="AC44" s="12"/>
    </row>
    <row r="45" spans="1:29" ht="15" customHeight="1" thickBot="1" thickTop="1">
      <c r="A45">
        <v>10</v>
      </c>
      <c r="B45">
        <v>12</v>
      </c>
      <c r="C45">
        <v>18</v>
      </c>
      <c r="D45">
        <f>IF(ISERROR(A45*B45),0,A45*B45)</f>
        <v>120</v>
      </c>
      <c r="E45" s="183">
        <f>X45</f>
        <v>0.00288</v>
      </c>
      <c r="F45" s="15"/>
      <c r="G45" s="15"/>
      <c r="H45" s="15"/>
      <c r="I45" s="50">
        <v>3</v>
      </c>
      <c r="J45" s="162">
        <f>A45</f>
        <v>10</v>
      </c>
      <c r="K45" s="4" t="s">
        <v>7</v>
      </c>
      <c r="L45" s="52">
        <v>4</v>
      </c>
      <c r="M45" s="162">
        <f>B45</f>
        <v>12</v>
      </c>
      <c r="N45" s="4" t="s">
        <v>7</v>
      </c>
      <c r="O45" s="50">
        <v>10</v>
      </c>
      <c r="P45" s="174">
        <f>C47</f>
        <v>24</v>
      </c>
      <c r="T45" s="53" t="s">
        <v>179</v>
      </c>
      <c r="U45" s="73" t="s">
        <v>180</v>
      </c>
      <c r="V45" s="53" t="s">
        <v>8</v>
      </c>
      <c r="W45" s="54">
        <v>41</v>
      </c>
      <c r="X45" s="55">
        <f>IF(ISERROR(J45*M45*P45/1000000),0,J45*M45*P45/1000000)</f>
        <v>0.00288</v>
      </c>
      <c r="Y45" s="16"/>
      <c r="Z45" s="56"/>
      <c r="AA45" s="163"/>
      <c r="AB45" s="19"/>
      <c r="AC45" s="17"/>
    </row>
    <row r="46" spans="1:29" ht="15" customHeight="1" thickTop="1">
      <c r="A46" s="178">
        <v>19</v>
      </c>
      <c r="B46" s="178">
        <v>20</v>
      </c>
      <c r="C46" s="178">
        <v>21</v>
      </c>
      <c r="F46" s="20"/>
      <c r="G46" s="20"/>
      <c r="H46" s="20"/>
      <c r="I46" s="20"/>
      <c r="J46" s="170" t="s">
        <v>9</v>
      </c>
      <c r="K46" s="22"/>
      <c r="L46" s="23"/>
      <c r="M46" s="21" t="s">
        <v>181</v>
      </c>
      <c r="N46" s="70"/>
      <c r="O46" s="70"/>
      <c r="P46" s="172" t="s">
        <v>182</v>
      </c>
      <c r="T46" s="22"/>
      <c r="U46" s="58"/>
      <c r="V46" s="22"/>
      <c r="W46" s="58"/>
      <c r="X46" s="169" t="s">
        <v>18</v>
      </c>
      <c r="Y46" s="25"/>
      <c r="Z46" s="25"/>
      <c r="AA46" s="26"/>
      <c r="AB46" s="25"/>
      <c r="AC46" s="24"/>
    </row>
    <row r="47" spans="1:3" ht="14.25">
      <c r="A47">
        <v>19</v>
      </c>
      <c r="B47">
        <v>20</v>
      </c>
      <c r="C47">
        <v>24</v>
      </c>
    </row>
    <row r="48" spans="1:29" ht="14.25">
      <c r="A48" s="41" t="s">
        <v>215</v>
      </c>
      <c r="B48" s="42"/>
      <c r="C48" s="48"/>
      <c r="D48" s="43"/>
      <c r="E48" s="48"/>
      <c r="F48" s="43"/>
      <c r="G48" s="44"/>
      <c r="H48" s="45"/>
      <c r="I48" s="46"/>
      <c r="J48" s="44"/>
      <c r="K48" s="45"/>
      <c r="L48" s="46"/>
      <c r="M48" s="44"/>
      <c r="N48" s="45"/>
      <c r="O48" s="47"/>
      <c r="P48" s="45"/>
      <c r="Q48" s="47"/>
      <c r="R48" s="44"/>
      <c r="S48" s="48"/>
      <c r="T48" s="48"/>
      <c r="U48" s="49"/>
      <c r="V48" s="10"/>
      <c r="W48" s="12"/>
      <c r="X48"/>
      <c r="Y48"/>
      <c r="Z48"/>
      <c r="AA48"/>
      <c r="AB48"/>
      <c r="AC48"/>
    </row>
    <row r="49" spans="3:29" ht="16.5" customHeight="1">
      <c r="C49" s="41" t="s">
        <v>232</v>
      </c>
      <c r="F49" s="2"/>
      <c r="G49" s="13" t="s">
        <v>0</v>
      </c>
      <c r="H49" s="2"/>
      <c r="I49" s="2"/>
      <c r="J49" s="7"/>
      <c r="K49" s="8"/>
      <c r="L49" s="3"/>
      <c r="M49" s="7"/>
      <c r="N49" s="8"/>
      <c r="O49" s="3"/>
      <c r="P49" s="7"/>
      <c r="Q49" s="7"/>
      <c r="R49" s="7"/>
      <c r="S49" s="7"/>
      <c r="T49" s="8"/>
      <c r="U49" s="9"/>
      <c r="V49" s="8"/>
      <c r="W49" s="9"/>
      <c r="Y49" s="10"/>
      <c r="Z49" s="10"/>
      <c r="AA49" s="163"/>
      <c r="AB49" s="10"/>
      <c r="AC49" s="12"/>
    </row>
    <row r="50" spans="1:29" ht="15" customHeight="1" thickBot="1">
      <c r="A50" s="180" t="s">
        <v>209</v>
      </c>
      <c r="B50" s="180" t="s">
        <v>5</v>
      </c>
      <c r="C50" s="180" t="s">
        <v>210</v>
      </c>
      <c r="E50" s="223">
        <f>B51</f>
        <v>12</v>
      </c>
      <c r="F50" s="2"/>
      <c r="H50" s="10"/>
      <c r="I50" s="2"/>
      <c r="J50" s="14" t="s">
        <v>183</v>
      </c>
      <c r="K50" s="8"/>
      <c r="L50" s="15"/>
      <c r="M50" s="15"/>
      <c r="N50" s="8"/>
      <c r="O50" s="3"/>
      <c r="P50" s="56"/>
      <c r="Q50" s="8"/>
      <c r="U50" s="9"/>
      <c r="V50" s="8"/>
      <c r="W50" s="9"/>
      <c r="X50" s="14" t="s">
        <v>183</v>
      </c>
      <c r="Y50" s="10"/>
      <c r="Z50" s="33"/>
      <c r="AA50" s="10"/>
      <c r="AB50" s="12"/>
      <c r="AC50"/>
    </row>
    <row r="51" spans="1:29" ht="15" customHeight="1" thickBot="1" thickTop="1">
      <c r="A51">
        <v>10</v>
      </c>
      <c r="B51">
        <v>12</v>
      </c>
      <c r="C51">
        <v>18</v>
      </c>
      <c r="E51" s="183">
        <f>X51</f>
        <v>19</v>
      </c>
      <c r="F51" s="2"/>
      <c r="G51" s="195">
        <f>C51</f>
        <v>18</v>
      </c>
      <c r="H51" s="56"/>
      <c r="I51" s="50">
        <v>8</v>
      </c>
      <c r="J51" s="162">
        <f>A53</f>
        <v>19</v>
      </c>
      <c r="L51" s="15"/>
      <c r="M51" s="15"/>
      <c r="N51" s="4"/>
      <c r="O51" s="3"/>
      <c r="Q51" s="53"/>
      <c r="U51" s="73"/>
      <c r="V51" s="53" t="s">
        <v>8</v>
      </c>
      <c r="W51" s="54">
        <v>61</v>
      </c>
      <c r="X51" s="55">
        <f>IF(ISERROR(J51),0,J51)</f>
        <v>19</v>
      </c>
      <c r="Y51" s="56"/>
      <c r="Z51" s="33"/>
      <c r="AA51" s="19"/>
      <c r="AB51" s="17"/>
      <c r="AC51"/>
    </row>
    <row r="52" spans="1:29" ht="15" customHeight="1" thickTop="1">
      <c r="A52" s="180">
        <v>19</v>
      </c>
      <c r="B52" s="180">
        <v>20</v>
      </c>
      <c r="C52" s="180">
        <v>21</v>
      </c>
      <c r="D52" s="180" t="s">
        <v>6</v>
      </c>
      <c r="F52" s="2"/>
      <c r="G52" s="20"/>
      <c r="H52" s="25"/>
      <c r="I52" s="20"/>
      <c r="J52" s="170" t="s">
        <v>184</v>
      </c>
      <c r="K52" s="22"/>
      <c r="L52" s="23"/>
      <c r="M52" s="21"/>
      <c r="N52" s="22"/>
      <c r="O52" s="23"/>
      <c r="P52" s="70"/>
      <c r="Q52" s="22"/>
      <c r="U52" s="58"/>
      <c r="V52" s="22"/>
      <c r="W52" s="58"/>
      <c r="X52" s="170" t="s">
        <v>185</v>
      </c>
      <c r="Y52" s="25"/>
      <c r="Z52" s="26"/>
      <c r="AA52" s="25"/>
      <c r="AB52" s="24"/>
      <c r="AC52"/>
    </row>
    <row r="53" spans="1:29" ht="15" customHeight="1">
      <c r="A53">
        <v>19</v>
      </c>
      <c r="B53">
        <v>20</v>
      </c>
      <c r="C53">
        <v>24</v>
      </c>
      <c r="F53" s="2"/>
      <c r="G53" s="20"/>
      <c r="H53" s="25"/>
      <c r="I53" s="20"/>
      <c r="J53" s="170"/>
      <c r="K53" s="22"/>
      <c r="L53" s="23"/>
      <c r="M53" s="21"/>
      <c r="N53" s="22"/>
      <c r="O53" s="23"/>
      <c r="P53" s="70"/>
      <c r="Q53" s="22"/>
      <c r="U53" s="58"/>
      <c r="V53" s="22"/>
      <c r="W53" s="58"/>
      <c r="X53" s="170"/>
      <c r="Y53" s="25"/>
      <c r="Z53" s="26"/>
      <c r="AA53" s="25"/>
      <c r="AB53" s="24"/>
      <c r="AC53"/>
    </row>
    <row r="54" spans="3:29" ht="16.5" customHeight="1">
      <c r="C54" s="41" t="s">
        <v>233</v>
      </c>
      <c r="F54" s="2"/>
      <c r="G54" s="13" t="s">
        <v>0</v>
      </c>
      <c r="H54" s="2"/>
      <c r="I54" s="2"/>
      <c r="J54" s="7"/>
      <c r="K54" s="8"/>
      <c r="L54" s="3"/>
      <c r="M54" s="7"/>
      <c r="N54" s="8"/>
      <c r="O54" s="3"/>
      <c r="P54" s="7"/>
      <c r="Q54" s="7"/>
      <c r="R54" s="7"/>
      <c r="S54" s="7"/>
      <c r="T54" s="8"/>
      <c r="U54" s="9"/>
      <c r="V54" s="8"/>
      <c r="W54" s="9"/>
      <c r="Y54" s="10"/>
      <c r="Z54" s="10"/>
      <c r="AA54" s="163"/>
      <c r="AB54" s="10"/>
      <c r="AC54" s="12"/>
    </row>
    <row r="55" spans="1:29" ht="15" customHeight="1" thickBot="1">
      <c r="A55" s="180" t="s">
        <v>209</v>
      </c>
      <c r="B55" s="180" t="s">
        <v>5</v>
      </c>
      <c r="C55" s="180" t="s">
        <v>210</v>
      </c>
      <c r="E55" s="223">
        <f>B56</f>
        <v>12</v>
      </c>
      <c r="F55" s="2"/>
      <c r="H55" s="10"/>
      <c r="I55" s="2"/>
      <c r="J55" s="14" t="s">
        <v>143</v>
      </c>
      <c r="K55" s="8"/>
      <c r="L55" s="3"/>
      <c r="M55" s="14" t="s">
        <v>186</v>
      </c>
      <c r="N55" s="8"/>
      <c r="O55" s="56"/>
      <c r="Q55" s="8"/>
      <c r="U55" s="9"/>
      <c r="V55" s="8"/>
      <c r="W55" s="9"/>
      <c r="X55" s="14" t="s">
        <v>187</v>
      </c>
      <c r="Y55" s="10"/>
      <c r="Z55" s="163"/>
      <c r="AA55" s="10"/>
      <c r="AB55" s="12"/>
      <c r="AC55"/>
    </row>
    <row r="56" spans="1:29" ht="15" customHeight="1" thickBot="1" thickTop="1">
      <c r="A56">
        <v>10</v>
      </c>
      <c r="B56">
        <v>12</v>
      </c>
      <c r="C56">
        <v>18</v>
      </c>
      <c r="E56" s="183">
        <f>X56</f>
        <v>0.010526315789473686</v>
      </c>
      <c r="F56" s="2"/>
      <c r="G56" s="195">
        <f>C56</f>
        <v>18</v>
      </c>
      <c r="H56" s="56"/>
      <c r="I56" s="50"/>
      <c r="J56" s="162">
        <f>A56*B58</f>
        <v>200</v>
      </c>
      <c r="K56" s="53" t="s">
        <v>188</v>
      </c>
      <c r="L56" s="50">
        <v>8</v>
      </c>
      <c r="M56" s="162">
        <f>A58</f>
        <v>19</v>
      </c>
      <c r="N56" s="4"/>
      <c r="O56" s="3"/>
      <c r="T56" s="53" t="s">
        <v>189</v>
      </c>
      <c r="U56" s="73" t="s">
        <v>190</v>
      </c>
      <c r="V56" s="53" t="s">
        <v>8</v>
      </c>
      <c r="W56" s="54">
        <v>61</v>
      </c>
      <c r="X56" s="55">
        <f>IF(ISERROR(J56/M56/1000),0,J56/M56/1000)</f>
        <v>0.010526315789473686</v>
      </c>
      <c r="Y56" s="56"/>
      <c r="Z56" s="163"/>
      <c r="AA56" s="19"/>
      <c r="AB56" s="17"/>
      <c r="AC56"/>
    </row>
    <row r="57" spans="1:29" ht="15" customHeight="1" thickTop="1">
      <c r="A57" s="180">
        <v>19</v>
      </c>
      <c r="B57" s="180">
        <v>20</v>
      </c>
      <c r="C57" s="180">
        <v>21</v>
      </c>
      <c r="D57" s="180" t="s">
        <v>6</v>
      </c>
      <c r="F57" s="2"/>
      <c r="G57" s="20"/>
      <c r="H57" s="25"/>
      <c r="I57" s="20"/>
      <c r="J57" s="170" t="s">
        <v>9</v>
      </c>
      <c r="K57" s="22"/>
      <c r="L57" s="23"/>
      <c r="M57" s="170" t="s">
        <v>191</v>
      </c>
      <c r="N57" s="22"/>
      <c r="O57" s="23"/>
      <c r="P57" s="70"/>
      <c r="Q57" s="22"/>
      <c r="U57" s="58"/>
      <c r="V57" s="22"/>
      <c r="W57" s="58"/>
      <c r="X57" s="170" t="s">
        <v>192</v>
      </c>
      <c r="Y57" s="25"/>
      <c r="Z57" s="26"/>
      <c r="AA57" s="25"/>
      <c r="AB57" s="24"/>
      <c r="AC57"/>
    </row>
    <row r="58" spans="1:29" ht="15" customHeight="1">
      <c r="A58">
        <v>19</v>
      </c>
      <c r="B58">
        <v>20</v>
      </c>
      <c r="C58">
        <v>24</v>
      </c>
      <c r="F58" s="2"/>
      <c r="G58" s="20"/>
      <c r="H58" s="25"/>
      <c r="I58" s="20"/>
      <c r="J58" s="170"/>
      <c r="K58" s="22"/>
      <c r="L58" s="23"/>
      <c r="M58" s="170"/>
      <c r="N58" s="22"/>
      <c r="O58" s="23"/>
      <c r="P58" s="70"/>
      <c r="Q58" s="22"/>
      <c r="U58" s="58"/>
      <c r="V58" s="22"/>
      <c r="W58" s="58"/>
      <c r="X58" s="170"/>
      <c r="Y58" s="25"/>
      <c r="Z58" s="26"/>
      <c r="AA58" s="25"/>
      <c r="AB58" s="24"/>
      <c r="AC58"/>
    </row>
    <row r="59" spans="3:29" ht="16.5" customHeight="1">
      <c r="C59" s="41" t="s">
        <v>234</v>
      </c>
      <c r="F59" s="2"/>
      <c r="G59" s="13" t="s">
        <v>0</v>
      </c>
      <c r="H59" s="2"/>
      <c r="I59" s="2"/>
      <c r="J59" s="7"/>
      <c r="K59" s="8"/>
      <c r="L59" s="3"/>
      <c r="M59" s="7"/>
      <c r="N59" s="8"/>
      <c r="O59" s="3"/>
      <c r="P59" s="7"/>
      <c r="Q59" s="7"/>
      <c r="R59" s="7"/>
      <c r="S59" s="7"/>
      <c r="T59" s="8"/>
      <c r="U59" s="9"/>
      <c r="V59" s="8"/>
      <c r="W59" s="9"/>
      <c r="Y59" s="10"/>
      <c r="Z59" s="10"/>
      <c r="AA59" s="163"/>
      <c r="AB59" s="10"/>
      <c r="AC59" s="12"/>
    </row>
    <row r="60" spans="1:29" ht="15" customHeight="1" thickBot="1">
      <c r="A60" s="180" t="s">
        <v>209</v>
      </c>
      <c r="B60" s="180" t="s">
        <v>5</v>
      </c>
      <c r="C60" s="180" t="s">
        <v>210</v>
      </c>
      <c r="E60" s="223">
        <f>B61</f>
        <v>12</v>
      </c>
      <c r="F60" s="2"/>
      <c r="I60" s="2"/>
      <c r="J60" s="14" t="s">
        <v>4</v>
      </c>
      <c r="K60" s="8"/>
      <c r="L60" s="3"/>
      <c r="M60" s="14" t="s">
        <v>5</v>
      </c>
      <c r="N60" s="8"/>
      <c r="O60" s="56" t="s">
        <v>141</v>
      </c>
      <c r="T60" s="8"/>
      <c r="U60" s="9"/>
      <c r="V60" s="8"/>
      <c r="W60" s="9"/>
      <c r="X60" s="14" t="s">
        <v>187</v>
      </c>
      <c r="Y60" s="10"/>
      <c r="Z60" s="10"/>
      <c r="AA60" s="163"/>
      <c r="AB60" s="10"/>
      <c r="AC60" s="12"/>
    </row>
    <row r="61" spans="1:29" ht="15" customHeight="1" thickBot="1" thickTop="1">
      <c r="A61">
        <v>10</v>
      </c>
      <c r="B61">
        <v>12</v>
      </c>
      <c r="C61">
        <v>18</v>
      </c>
      <c r="E61" s="183">
        <f>X61</f>
        <v>2.88</v>
      </c>
      <c r="F61" s="15"/>
      <c r="G61" s="195">
        <f>C61</f>
        <v>18</v>
      </c>
      <c r="H61" s="15"/>
      <c r="I61" s="50">
        <v>3</v>
      </c>
      <c r="J61" s="162">
        <f>A61</f>
        <v>10</v>
      </c>
      <c r="K61" s="4" t="s">
        <v>7</v>
      </c>
      <c r="L61" s="52">
        <v>4</v>
      </c>
      <c r="M61" s="162">
        <f>B61</f>
        <v>12</v>
      </c>
      <c r="N61" s="4" t="s">
        <v>7</v>
      </c>
      <c r="O61" s="50">
        <v>10</v>
      </c>
      <c r="P61" s="160">
        <f>C63</f>
        <v>24</v>
      </c>
      <c r="T61" s="53" t="s">
        <v>173</v>
      </c>
      <c r="U61" s="73" t="s">
        <v>174</v>
      </c>
      <c r="V61" s="53" t="s">
        <v>8</v>
      </c>
      <c r="W61" s="54">
        <v>31</v>
      </c>
      <c r="X61" s="55">
        <f>IF(ISERROR(J61*M61*P61/1000),0,J61*M61*P61/1000)</f>
        <v>2.88</v>
      </c>
      <c r="Y61" s="16"/>
      <c r="Z61" s="56"/>
      <c r="AA61" s="163"/>
      <c r="AB61" s="19"/>
      <c r="AC61" s="17"/>
    </row>
    <row r="62" spans="1:29" ht="15" customHeight="1" thickTop="1">
      <c r="A62" s="180">
        <v>19</v>
      </c>
      <c r="B62" s="180">
        <v>20</v>
      </c>
      <c r="C62" s="180">
        <v>21</v>
      </c>
      <c r="D62" s="180" t="s">
        <v>6</v>
      </c>
      <c r="F62" s="20"/>
      <c r="G62" s="20"/>
      <c r="H62" s="20"/>
      <c r="I62" s="20"/>
      <c r="J62" s="170" t="s">
        <v>175</v>
      </c>
      <c r="K62" s="22"/>
      <c r="L62" s="23"/>
      <c r="M62" s="171" t="s">
        <v>178</v>
      </c>
      <c r="N62" s="22"/>
      <c r="O62" s="23"/>
      <c r="P62" s="169" t="s">
        <v>142</v>
      </c>
      <c r="T62" s="22"/>
      <c r="U62" s="58"/>
      <c r="V62" s="22"/>
      <c r="W62" s="58"/>
      <c r="X62" s="170" t="s">
        <v>192</v>
      </c>
      <c r="Y62" s="25"/>
      <c r="Z62" s="25"/>
      <c r="AA62" s="26"/>
      <c r="AB62" s="25"/>
      <c r="AC62" s="24"/>
    </row>
    <row r="63" spans="1:29" ht="15" customHeight="1">
      <c r="A63">
        <v>19</v>
      </c>
      <c r="B63">
        <v>20</v>
      </c>
      <c r="C63">
        <v>24</v>
      </c>
      <c r="F63" s="20"/>
      <c r="G63" s="20"/>
      <c r="H63" s="20"/>
      <c r="I63" s="20"/>
      <c r="J63" s="170"/>
      <c r="K63" s="22"/>
      <c r="L63" s="23"/>
      <c r="M63" s="171"/>
      <c r="N63" s="22"/>
      <c r="O63" s="23"/>
      <c r="P63" s="169"/>
      <c r="Q63" s="70"/>
      <c r="R63" s="70"/>
      <c r="S63" s="169"/>
      <c r="T63" s="22"/>
      <c r="U63" s="58"/>
      <c r="V63" s="22"/>
      <c r="W63" s="58"/>
      <c r="X63" s="169"/>
      <c r="Y63" s="25"/>
      <c r="Z63" s="25"/>
      <c r="AA63" s="26"/>
      <c r="AB63" s="25"/>
      <c r="AC63" s="24"/>
    </row>
    <row r="64" spans="3:29" ht="16.5" customHeight="1">
      <c r="C64" s="41" t="s">
        <v>235</v>
      </c>
      <c r="F64" s="2"/>
      <c r="G64" s="13" t="s">
        <v>0</v>
      </c>
      <c r="H64" s="2"/>
      <c r="I64" s="2"/>
      <c r="J64" s="7"/>
      <c r="K64" s="8"/>
      <c r="L64" s="3"/>
      <c r="M64" s="7"/>
      <c r="N64" s="8"/>
      <c r="O64" s="3"/>
      <c r="P64" s="7"/>
      <c r="Q64" s="7"/>
      <c r="R64" s="7"/>
      <c r="S64" s="7"/>
      <c r="T64" s="8"/>
      <c r="U64" s="9"/>
      <c r="V64" s="8"/>
      <c r="W64" s="9"/>
      <c r="Y64" s="10"/>
      <c r="Z64" s="10"/>
      <c r="AA64" s="163"/>
      <c r="AB64" s="10"/>
      <c r="AC64" s="12"/>
    </row>
    <row r="65" spans="1:29" ht="15" customHeight="1" thickBot="1">
      <c r="A65" s="180" t="s">
        <v>209</v>
      </c>
      <c r="B65" s="180" t="s">
        <v>5</v>
      </c>
      <c r="C65" s="180" t="s">
        <v>210</v>
      </c>
      <c r="E65" s="223">
        <f>B66</f>
        <v>12</v>
      </c>
      <c r="F65" s="2"/>
      <c r="H65" s="10"/>
      <c r="I65" s="2"/>
      <c r="J65" s="14" t="s">
        <v>6</v>
      </c>
      <c r="K65" s="8"/>
      <c r="L65" s="3"/>
      <c r="M65" s="154" t="s">
        <v>193</v>
      </c>
      <c r="N65" s="22"/>
      <c r="O65" s="22"/>
      <c r="P65" s="22"/>
      <c r="Q65" s="22"/>
      <c r="U65" s="22"/>
      <c r="V65" s="8"/>
      <c r="W65" s="9"/>
      <c r="X65" s="14" t="s">
        <v>187</v>
      </c>
      <c r="Y65" s="10"/>
      <c r="Z65" s="163"/>
      <c r="AA65" s="10"/>
      <c r="AB65" s="12"/>
      <c r="AC65"/>
    </row>
    <row r="66" spans="1:29" ht="15" customHeight="1" thickBot="1" thickTop="1">
      <c r="A66">
        <v>10</v>
      </c>
      <c r="B66">
        <v>12</v>
      </c>
      <c r="C66">
        <v>18</v>
      </c>
      <c r="E66" s="183">
        <f>X66</f>
        <v>0</v>
      </c>
      <c r="F66" s="15"/>
      <c r="G66" s="195">
        <f>C66</f>
        <v>18</v>
      </c>
      <c r="H66" s="56"/>
      <c r="I66" s="50"/>
      <c r="J66" s="168">
        <f>D68</f>
        <v>0</v>
      </c>
      <c r="K66" s="53" t="s">
        <v>188</v>
      </c>
      <c r="L66" s="52"/>
      <c r="M66" s="156">
        <f>IF(ISERROR(VLOOKUP(C66,'係数関連'!$C$3:$P$11,13,FALSE)),"",VLOOKUP(C66,'係数関連'!$C$3:$P$11,13,FALSE))</f>
      </c>
      <c r="N66" s="22"/>
      <c r="O66" s="22"/>
      <c r="P66" s="22"/>
      <c r="Q66" s="22"/>
      <c r="U66" s="22"/>
      <c r="V66" s="53" t="s">
        <v>8</v>
      </c>
      <c r="W66" s="54">
        <v>71</v>
      </c>
      <c r="X66" s="55">
        <f>IF(ISERROR(J66/M66),0,J66/M66)</f>
        <v>0</v>
      </c>
      <c r="Y66" s="56"/>
      <c r="Z66" s="163"/>
      <c r="AA66" s="19"/>
      <c r="AB66" s="17"/>
      <c r="AC66"/>
    </row>
    <row r="67" spans="1:29" ht="15" customHeight="1" thickTop="1">
      <c r="A67" s="180">
        <v>19</v>
      </c>
      <c r="B67" s="180">
        <v>20</v>
      </c>
      <c r="C67" s="180">
        <v>21</v>
      </c>
      <c r="D67" s="180" t="s">
        <v>6</v>
      </c>
      <c r="F67" s="20"/>
      <c r="G67" s="20"/>
      <c r="H67" s="25"/>
      <c r="I67" s="20"/>
      <c r="J67" s="169" t="s">
        <v>18</v>
      </c>
      <c r="K67" s="22"/>
      <c r="L67" s="23"/>
      <c r="M67" s="169" t="s">
        <v>194</v>
      </c>
      <c r="N67" s="22"/>
      <c r="O67" s="22"/>
      <c r="P67" s="22"/>
      <c r="Q67" s="22"/>
      <c r="U67" s="22"/>
      <c r="V67" s="22"/>
      <c r="W67" s="58"/>
      <c r="X67" s="169" t="s">
        <v>146</v>
      </c>
      <c r="Y67" s="25"/>
      <c r="Z67" s="26"/>
      <c r="AA67" s="25"/>
      <c r="AB67" s="24"/>
      <c r="AC67"/>
    </row>
    <row r="68" spans="1:29" ht="15" customHeight="1">
      <c r="A68">
        <v>19</v>
      </c>
      <c r="B68">
        <v>20</v>
      </c>
      <c r="C68">
        <v>24</v>
      </c>
      <c r="F68" s="20"/>
      <c r="G68" s="20"/>
      <c r="H68" s="25"/>
      <c r="I68" s="20"/>
      <c r="J68" s="169"/>
      <c r="K68" s="22"/>
      <c r="L68" s="23"/>
      <c r="M68" s="169"/>
      <c r="N68" s="22"/>
      <c r="O68" s="22"/>
      <c r="P68" s="22"/>
      <c r="Q68" s="22"/>
      <c r="U68" s="22"/>
      <c r="V68" s="22"/>
      <c r="W68" s="58"/>
      <c r="X68" s="169"/>
      <c r="Y68" s="25"/>
      <c r="Z68" s="26"/>
      <c r="AA68" s="25"/>
      <c r="AB68" s="24"/>
      <c r="AC68"/>
    </row>
    <row r="69" spans="3:29" ht="16.5" customHeight="1">
      <c r="C69" s="41" t="s">
        <v>236</v>
      </c>
      <c r="F69" s="2"/>
      <c r="G69" s="13" t="s">
        <v>0</v>
      </c>
      <c r="H69" s="2"/>
      <c r="I69" s="2"/>
      <c r="J69" s="7"/>
      <c r="K69" s="8"/>
      <c r="L69" s="3"/>
      <c r="M69" s="7"/>
      <c r="N69" s="8"/>
      <c r="O69" s="3"/>
      <c r="P69" s="7"/>
      <c r="Q69" s="7"/>
      <c r="R69" s="7"/>
      <c r="S69" s="7"/>
      <c r="T69" s="8"/>
      <c r="U69" s="9"/>
      <c r="V69" s="8"/>
      <c r="W69" s="9"/>
      <c r="Y69" s="10"/>
      <c r="Z69" s="10"/>
      <c r="AA69" s="163"/>
      <c r="AB69" s="10"/>
      <c r="AC69" s="12"/>
    </row>
    <row r="70" spans="1:29" ht="15" customHeight="1" thickBot="1">
      <c r="A70" s="180" t="s">
        <v>209</v>
      </c>
      <c r="B70" s="180" t="s">
        <v>5</v>
      </c>
      <c r="C70" s="180" t="s">
        <v>210</v>
      </c>
      <c r="E70" s="223">
        <f>B71</f>
        <v>12</v>
      </c>
      <c r="F70" s="2"/>
      <c r="H70" s="10"/>
      <c r="I70" s="2"/>
      <c r="J70" s="14" t="s">
        <v>4</v>
      </c>
      <c r="K70" s="8"/>
      <c r="L70" s="3"/>
      <c r="M70" s="14" t="s">
        <v>5</v>
      </c>
      <c r="N70" s="14"/>
      <c r="O70" s="166" t="s">
        <v>195</v>
      </c>
      <c r="Q70" s="8"/>
      <c r="S70" s="154" t="s">
        <v>144</v>
      </c>
      <c r="V70" s="8"/>
      <c r="W70" s="9"/>
      <c r="X70" s="14" t="s">
        <v>196</v>
      </c>
      <c r="Y70" s="10"/>
      <c r="Z70" s="163"/>
      <c r="AA70" s="10"/>
      <c r="AB70" s="12"/>
      <c r="AC70"/>
    </row>
    <row r="71" spans="1:29" ht="15" customHeight="1" thickBot="1" thickTop="1">
      <c r="A71">
        <v>10</v>
      </c>
      <c r="B71">
        <v>12</v>
      </c>
      <c r="C71">
        <v>18</v>
      </c>
      <c r="E71" s="183">
        <f>X71</f>
        <v>6.036885245901639</v>
      </c>
      <c r="F71" s="15"/>
      <c r="G71" s="195">
        <f>C71</f>
        <v>18</v>
      </c>
      <c r="H71" s="56"/>
      <c r="I71" s="50">
        <v>3</v>
      </c>
      <c r="J71" s="162">
        <f>A71</f>
        <v>10</v>
      </c>
      <c r="K71" s="4" t="s">
        <v>7</v>
      </c>
      <c r="L71" s="52">
        <v>4</v>
      </c>
      <c r="M71" s="162">
        <f>B71</f>
        <v>12</v>
      </c>
      <c r="N71" s="4" t="s">
        <v>7</v>
      </c>
      <c r="O71" s="50"/>
      <c r="P71" s="160">
        <f>'係数関連'!$C$79</f>
        <v>0.491</v>
      </c>
      <c r="Q71" s="53" t="s">
        <v>197</v>
      </c>
      <c r="S71" s="156">
        <f>'係数関連'!$E$11*1000</f>
        <v>9.76</v>
      </c>
      <c r="V71" s="53" t="s">
        <v>8</v>
      </c>
      <c r="W71" s="54">
        <v>71</v>
      </c>
      <c r="X71" s="55">
        <f>IF(ISERROR(J71*M71*P71/S71),0,J71*M71*P71/S71)</f>
        <v>6.036885245901639</v>
      </c>
      <c r="Y71" s="56"/>
      <c r="Z71" s="163"/>
      <c r="AA71" s="19"/>
      <c r="AB71" s="17"/>
      <c r="AC71"/>
    </row>
    <row r="72" spans="1:29" ht="15" customHeight="1" thickTop="1">
      <c r="A72" s="180">
        <v>19</v>
      </c>
      <c r="B72" s="180">
        <v>20</v>
      </c>
      <c r="C72" s="180">
        <v>21</v>
      </c>
      <c r="D72" s="180" t="s">
        <v>6</v>
      </c>
      <c r="F72" s="20"/>
      <c r="G72" s="20"/>
      <c r="H72" s="25"/>
      <c r="I72" s="30"/>
      <c r="J72" s="170" t="s">
        <v>9</v>
      </c>
      <c r="K72" s="23"/>
      <c r="M72" s="171" t="s">
        <v>198</v>
      </c>
      <c r="N72" s="70"/>
      <c r="O72" s="28"/>
      <c r="P72" s="169" t="s">
        <v>199</v>
      </c>
      <c r="Q72" s="22"/>
      <c r="S72" s="169" t="s">
        <v>200</v>
      </c>
      <c r="V72" s="58"/>
      <c r="X72" s="169" t="s">
        <v>150</v>
      </c>
      <c r="Y72" s="25"/>
      <c r="Z72" s="26"/>
      <c r="AA72" s="25"/>
      <c r="AB72" s="24"/>
      <c r="AC72"/>
    </row>
    <row r="73" spans="1:3" ht="14.25">
      <c r="A73">
        <v>19</v>
      </c>
      <c r="B73">
        <v>20</v>
      </c>
      <c r="C73">
        <v>24</v>
      </c>
    </row>
    <row r="75" spans="1:29" ht="14.25">
      <c r="A75" s="41" t="s">
        <v>216</v>
      </c>
      <c r="B75" s="42"/>
      <c r="C75" s="43"/>
      <c r="D75" s="43"/>
      <c r="E75" s="44"/>
      <c r="F75" s="45"/>
      <c r="G75" s="46"/>
      <c r="H75" s="44"/>
      <c r="I75" s="45"/>
      <c r="J75" s="46"/>
      <c r="K75" s="44"/>
      <c r="L75" s="44"/>
      <c r="M75" s="44"/>
      <c r="N75" s="44"/>
      <c r="O75" s="45"/>
      <c r="P75" s="47"/>
      <c r="Q75" s="45"/>
      <c r="R75" s="47"/>
      <c r="S75" s="44"/>
      <c r="T75" s="48"/>
      <c r="U75" s="48"/>
      <c r="V75" s="49"/>
      <c r="W75" s="10"/>
      <c r="X75" s="12"/>
      <c r="Y75"/>
      <c r="Z75"/>
      <c r="AA75"/>
      <c r="AB75"/>
      <c r="AC75"/>
    </row>
    <row r="76" spans="3:29" ht="16.5" customHeight="1">
      <c r="C76" s="41"/>
      <c r="F76" s="2"/>
      <c r="G76" s="13" t="s">
        <v>0</v>
      </c>
      <c r="H76" s="2"/>
      <c r="I76" s="2"/>
      <c r="J76" s="7"/>
      <c r="K76" s="8"/>
      <c r="L76" s="3"/>
      <c r="M76" s="7"/>
      <c r="N76" s="8"/>
      <c r="O76" s="3"/>
      <c r="P76" s="7"/>
      <c r="Q76" s="7"/>
      <c r="R76" s="7"/>
      <c r="S76" s="7"/>
      <c r="T76" s="8"/>
      <c r="U76" s="9"/>
      <c r="V76" s="8"/>
      <c r="W76" s="9"/>
      <c r="Y76" s="10"/>
      <c r="Z76" s="10"/>
      <c r="AA76" s="163"/>
      <c r="AB76" s="10"/>
      <c r="AC76" s="12"/>
    </row>
    <row r="77" spans="1:29" ht="15" customHeight="1" thickBot="1">
      <c r="A77" s="181" t="s">
        <v>209</v>
      </c>
      <c r="B77" s="181" t="s">
        <v>5</v>
      </c>
      <c r="C77" s="182" t="s">
        <v>210</v>
      </c>
      <c r="E77" s="152"/>
      <c r="I77" s="2"/>
      <c r="J77" s="14" t="s">
        <v>139</v>
      </c>
      <c r="K77" s="8"/>
      <c r="L77" s="15"/>
      <c r="M77" s="15"/>
      <c r="N77" s="8"/>
      <c r="O77" s="3"/>
      <c r="P77" s="56"/>
      <c r="Q77" s="14"/>
      <c r="R77" s="154"/>
      <c r="S77" s="14" t="s">
        <v>148</v>
      </c>
      <c r="T77" s="8"/>
      <c r="U77" s="9"/>
      <c r="V77" s="8"/>
      <c r="W77" s="9"/>
      <c r="X77" s="14" t="s">
        <v>145</v>
      </c>
      <c r="Y77" s="10"/>
      <c r="Z77" s="10"/>
      <c r="AB77" s="10"/>
      <c r="AC77" s="12"/>
    </row>
    <row r="78" spans="1:29" ht="15" customHeight="1" thickBot="1" thickTop="1">
      <c r="A78">
        <v>10</v>
      </c>
      <c r="B78">
        <v>12</v>
      </c>
      <c r="C78">
        <v>18</v>
      </c>
      <c r="E78" s="183">
        <f>X78</f>
        <v>0</v>
      </c>
      <c r="G78" s="15"/>
      <c r="H78" s="15"/>
      <c r="I78" s="50">
        <v>8</v>
      </c>
      <c r="J78" s="51">
        <f>D80</f>
        <v>0</v>
      </c>
      <c r="L78" s="15"/>
      <c r="M78" s="15"/>
      <c r="N78" s="4"/>
      <c r="O78" s="3"/>
      <c r="Q78" s="4" t="s">
        <v>7</v>
      </c>
      <c r="R78" s="50"/>
      <c r="S78" s="156">
        <f>IF(ISERROR(VLOOKUP(C78,'係数関連'!$C$3:$P$11,14,FALSE)),"",VLOOKUP(C78,'係数関連'!$C$3:$P$11,14,FALSE))</f>
      </c>
      <c r="T78" s="53"/>
      <c r="U78" s="73"/>
      <c r="V78" s="53" t="s">
        <v>8</v>
      </c>
      <c r="W78" s="54">
        <v>81</v>
      </c>
      <c r="X78" s="55">
        <f>IF(S78="",0,J78*S78)</f>
        <v>0</v>
      </c>
      <c r="Y78" s="16"/>
      <c r="Z78" s="56"/>
      <c r="AB78" s="19"/>
      <c r="AC78" s="17"/>
    </row>
    <row r="79" spans="1:29" ht="15" customHeight="1" thickTop="1">
      <c r="A79" s="181">
        <v>19</v>
      </c>
      <c r="B79" s="181"/>
      <c r="C79" s="181"/>
      <c r="D79" s="220" t="s">
        <v>211</v>
      </c>
      <c r="G79" s="20"/>
      <c r="H79" s="20"/>
      <c r="I79" s="20"/>
      <c r="J79" s="170" t="s">
        <v>201</v>
      </c>
      <c r="K79" s="22"/>
      <c r="L79" s="23"/>
      <c r="M79" s="21"/>
      <c r="N79" s="22"/>
      <c r="O79" s="23"/>
      <c r="P79" s="70"/>
      <c r="Q79" s="70"/>
      <c r="R79" s="70"/>
      <c r="S79" s="169"/>
      <c r="T79" s="22"/>
      <c r="U79" s="58"/>
      <c r="V79" s="22"/>
      <c r="W79" s="58"/>
      <c r="X79" s="170" t="s">
        <v>202</v>
      </c>
      <c r="Y79" s="25"/>
      <c r="Z79" s="25"/>
      <c r="AA79" s="26"/>
      <c r="AB79" s="25"/>
      <c r="AC79" s="24"/>
    </row>
    <row r="80" spans="1:29" ht="15" customHeight="1">
      <c r="A80">
        <v>19</v>
      </c>
      <c r="G80" s="20"/>
      <c r="H80" s="20"/>
      <c r="I80" s="20"/>
      <c r="J80" s="170"/>
      <c r="K80" s="22"/>
      <c r="L80" s="23"/>
      <c r="M80" s="21"/>
      <c r="N80" s="22"/>
      <c r="O80" s="23"/>
      <c r="P80" s="70"/>
      <c r="Q80" s="70"/>
      <c r="R80" s="70"/>
      <c r="S80" s="169"/>
      <c r="T80" s="22"/>
      <c r="U80" s="58"/>
      <c r="V80" s="22"/>
      <c r="W80" s="58"/>
      <c r="X80" s="170"/>
      <c r="Y80" s="25"/>
      <c r="Z80" s="25"/>
      <c r="AA80" s="26"/>
      <c r="AB80" s="25"/>
      <c r="AC80" s="24"/>
    </row>
    <row r="81" spans="3:29" ht="16.5" customHeight="1">
      <c r="C81" s="41" t="s">
        <v>236</v>
      </c>
      <c r="F81" s="2"/>
      <c r="G81" s="13" t="s">
        <v>0</v>
      </c>
      <c r="H81" s="2"/>
      <c r="I81" s="2"/>
      <c r="J81" s="7"/>
      <c r="K81" s="8"/>
      <c r="L81" s="3"/>
      <c r="M81" s="7"/>
      <c r="N81" s="8"/>
      <c r="O81" s="3"/>
      <c r="P81" s="7"/>
      <c r="Q81" s="7"/>
      <c r="R81" s="7"/>
      <c r="S81" s="7"/>
      <c r="T81" s="8"/>
      <c r="U81" s="9"/>
      <c r="V81" s="8"/>
      <c r="W81" s="9"/>
      <c r="Y81" s="10"/>
      <c r="Z81" s="10"/>
      <c r="AA81" s="163"/>
      <c r="AB81" s="10"/>
      <c r="AC81" s="12"/>
    </row>
    <row r="82" spans="1:29" ht="15" customHeight="1" thickBot="1">
      <c r="A82" s="181" t="s">
        <v>209</v>
      </c>
      <c r="B82" s="181" t="s">
        <v>5</v>
      </c>
      <c r="C82" s="182" t="s">
        <v>210</v>
      </c>
      <c r="G82" s="167"/>
      <c r="I82" s="2"/>
      <c r="J82" s="14" t="s">
        <v>4</v>
      </c>
      <c r="K82" s="8"/>
      <c r="L82" s="3"/>
      <c r="M82" s="14" t="s">
        <v>5</v>
      </c>
      <c r="N82" s="14"/>
      <c r="O82" s="154"/>
      <c r="P82" s="165" t="s">
        <v>203</v>
      </c>
      <c r="S82" s="8"/>
      <c r="T82" s="8"/>
      <c r="U82" s="9"/>
      <c r="V82" s="8"/>
      <c r="W82" s="9"/>
      <c r="X82" s="14" t="s">
        <v>145</v>
      </c>
      <c r="Y82" s="10"/>
      <c r="Z82" s="10"/>
      <c r="AA82" s="163"/>
      <c r="AB82" s="10"/>
      <c r="AC82" s="12"/>
    </row>
    <row r="83" spans="1:29" ht="15" customHeight="1" thickBot="1" thickTop="1">
      <c r="A83">
        <v>10</v>
      </c>
      <c r="B83">
        <v>12</v>
      </c>
      <c r="C83">
        <v>18</v>
      </c>
      <c r="E83" s="183">
        <f>X83</f>
        <v>0.001520136</v>
      </c>
      <c r="G83" s="15"/>
      <c r="H83" s="15"/>
      <c r="I83" s="50">
        <v>3</v>
      </c>
      <c r="J83" s="51">
        <f>A83</f>
        <v>10</v>
      </c>
      <c r="K83" s="4" t="s">
        <v>7</v>
      </c>
      <c r="L83" s="52">
        <v>4</v>
      </c>
      <c r="M83" s="162">
        <f>B83</f>
        <v>12</v>
      </c>
      <c r="N83" s="4" t="s">
        <v>7</v>
      </c>
      <c r="O83" s="50"/>
      <c r="P83" s="160">
        <f>'係数関連'!$C$79</f>
        <v>0.491</v>
      </c>
      <c r="Q83" s="4" t="s">
        <v>7</v>
      </c>
      <c r="R83" s="50"/>
      <c r="S83" s="173">
        <f>'係数関連'!$B$92</f>
        <v>0.0258</v>
      </c>
      <c r="T83" s="53" t="s">
        <v>204</v>
      </c>
      <c r="U83" s="73" t="s">
        <v>205</v>
      </c>
      <c r="V83" s="53" t="s">
        <v>8</v>
      </c>
      <c r="W83" s="54">
        <v>91</v>
      </c>
      <c r="X83" s="55">
        <f>IF(P83=0,0,J83*M83*P83*S83/1000)</f>
        <v>0.001520136</v>
      </c>
      <c r="Y83" s="16"/>
      <c r="Z83" s="56"/>
      <c r="AA83" s="163"/>
      <c r="AB83" s="19"/>
      <c r="AC83" s="17"/>
    </row>
    <row r="84" spans="1:29" ht="15" customHeight="1" thickTop="1">
      <c r="A84" s="181">
        <v>19</v>
      </c>
      <c r="B84" s="181"/>
      <c r="C84" s="181"/>
      <c r="D84" s="220" t="s">
        <v>211</v>
      </c>
      <c r="G84" s="20"/>
      <c r="H84" s="20"/>
      <c r="I84" s="20"/>
      <c r="J84" s="170" t="s">
        <v>9</v>
      </c>
      <c r="K84" s="22"/>
      <c r="L84" s="23"/>
      <c r="M84" s="171" t="s">
        <v>206</v>
      </c>
      <c r="N84" s="70"/>
      <c r="O84" s="70"/>
      <c r="P84" s="169" t="s">
        <v>207</v>
      </c>
      <c r="S84" s="169" t="s">
        <v>208</v>
      </c>
      <c r="T84" s="22"/>
      <c r="U84" s="58"/>
      <c r="V84" s="22"/>
      <c r="W84" s="58"/>
      <c r="X84" s="169" t="s">
        <v>146</v>
      </c>
      <c r="Y84" s="25"/>
      <c r="Z84" s="25"/>
      <c r="AA84" s="26"/>
      <c r="AB84" s="25"/>
      <c r="AC84" s="24"/>
    </row>
    <row r="85" ht="14.25">
      <c r="A85">
        <v>19</v>
      </c>
    </row>
  </sheetData>
  <mergeCells count="2">
    <mergeCell ref="B2:B26"/>
    <mergeCell ref="E3:H3"/>
  </mergeCells>
  <dataValidations count="7">
    <dataValidation type="list" allowBlank="1" showInputMessage="1" showErrorMessage="1" sqref="I16">
      <formula1>"トラック,内航船舶,鉄道,航空"</formula1>
    </dataValidation>
    <dataValidation type="list" allowBlank="1" showInputMessage="1" sqref="I18">
      <formula1>"燃料法,燃費法,改良トンキロ法"</formula1>
    </dataValidation>
    <dataValidation type="list" allowBlank="1" showInputMessage="1" showErrorMessage="1" sqref="I19">
      <formula1>"ガソリン,軽油,液化石油ガス(LPG),都市ガス,電気"</formula1>
    </dataValidation>
    <dataValidation type="list" showInputMessage="1" showErrorMessage="1" sqref="H19">
      <formula1>"ガソリン,軽油,A重油,B・C重油,液化石油ガス(LPG),ジェット燃料油,灯油,都市ガス,電気"</formula1>
    </dataValidation>
    <dataValidation type="list" allowBlank="1" showInputMessage="1" showErrorMessage="1" sqref="H16">
      <formula1>"トラック,鉄道,内航船舶,航空"</formula1>
    </dataValidation>
    <dataValidation type="list" allowBlank="1" showInputMessage="1" showErrorMessage="1" sqref="H23">
      <formula1>"営業用普通車,営業用小型車,営業用軽自動車,自家用普通車,自家用小型車"</formula1>
    </dataValidation>
    <dataValidation type="list" allowBlank="1" showInputMessage="1" showErrorMessage="1" sqref="H18">
      <formula1>"燃料法,燃費法,改良トンキロ法,トンキロ法"</formula1>
    </dataValidation>
  </dataValidations>
  <printOptions/>
  <pageMargins left="0.75" right="0.75" top="1" bottom="1" header="0.512" footer="0.512"/>
  <pageSetup fitToHeight="1" fitToWidth="1"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sheetPr codeName="Sheet15">
    <tabColor indexed="55"/>
  </sheetPr>
  <dimension ref="A1:P92"/>
  <sheetViews>
    <sheetView workbookViewId="0" topLeftCell="A13">
      <selection activeCell="G78" sqref="G78"/>
    </sheetView>
  </sheetViews>
  <sheetFormatPr defaultColWidth="9.00390625" defaultRowHeight="13.5"/>
  <cols>
    <col min="4" max="4" width="10.375" style="0" bestFit="1" customWidth="1"/>
    <col min="14" max="14" width="12.125" style="0" customWidth="1"/>
  </cols>
  <sheetData>
    <row r="1" ht="48.75" customHeight="1" thickBot="1">
      <c r="A1" s="77"/>
    </row>
    <row r="2" spans="2:16" ht="24.75" customHeight="1" thickBot="1">
      <c r="B2" s="78" t="s">
        <v>26</v>
      </c>
      <c r="C2" s="79" t="s">
        <v>27</v>
      </c>
      <c r="D2" s="80" t="s">
        <v>44</v>
      </c>
      <c r="E2" s="309" t="s">
        <v>45</v>
      </c>
      <c r="F2" s="310"/>
      <c r="G2" s="309" t="s">
        <v>46</v>
      </c>
      <c r="H2" s="310"/>
      <c r="I2" s="309" t="s">
        <v>47</v>
      </c>
      <c r="J2" s="310"/>
      <c r="K2" s="309" t="s">
        <v>48</v>
      </c>
      <c r="L2" s="330"/>
      <c r="M2" s="309" t="s">
        <v>49</v>
      </c>
      <c r="N2" s="310"/>
      <c r="O2" t="s">
        <v>149</v>
      </c>
      <c r="P2" s="14" t="s">
        <v>145</v>
      </c>
    </row>
    <row r="3" spans="2:16" ht="25.5" thickBot="1" thickTop="1">
      <c r="B3" s="81">
        <v>1</v>
      </c>
      <c r="C3" s="82" t="s">
        <v>19</v>
      </c>
      <c r="D3" s="83" t="s">
        <v>50</v>
      </c>
      <c r="E3" s="84">
        <v>34.6</v>
      </c>
      <c r="F3" s="85" t="s">
        <v>28</v>
      </c>
      <c r="G3" s="84">
        <v>0.0183</v>
      </c>
      <c r="H3" s="85" t="s">
        <v>29</v>
      </c>
      <c r="I3" s="84" t="s">
        <v>51</v>
      </c>
      <c r="J3" s="85" t="s">
        <v>52</v>
      </c>
      <c r="K3" s="84" t="s">
        <v>53</v>
      </c>
      <c r="L3" s="86" t="s">
        <v>54</v>
      </c>
      <c r="M3" s="87">
        <f aca="true" t="shared" si="0" ref="M3:M10">G3*44/12</f>
        <v>0.0671</v>
      </c>
      <c r="N3" s="88" t="s">
        <v>55</v>
      </c>
      <c r="O3">
        <f>M3*E3</f>
        <v>2.3216600000000005</v>
      </c>
      <c r="P3">
        <f>E3*$B$92</f>
        <v>0.89268</v>
      </c>
    </row>
    <row r="4" spans="2:16" ht="24.75" thickBot="1">
      <c r="B4" s="81">
        <v>2</v>
      </c>
      <c r="C4" s="82" t="s">
        <v>56</v>
      </c>
      <c r="D4" s="83" t="s">
        <v>50</v>
      </c>
      <c r="E4" s="84">
        <v>38.2</v>
      </c>
      <c r="F4" s="85" t="s">
        <v>28</v>
      </c>
      <c r="G4" s="84">
        <v>0.018699999999999998</v>
      </c>
      <c r="H4" s="85" t="s">
        <v>29</v>
      </c>
      <c r="I4" s="84" t="s">
        <v>51</v>
      </c>
      <c r="J4" s="85" t="s">
        <v>52</v>
      </c>
      <c r="K4" s="84" t="s">
        <v>30</v>
      </c>
      <c r="L4" s="86" t="s">
        <v>54</v>
      </c>
      <c r="M4" s="89">
        <f t="shared" si="0"/>
        <v>0.06856666666666665</v>
      </c>
      <c r="N4" s="90" t="s">
        <v>55</v>
      </c>
      <c r="O4">
        <f>M4*E4</f>
        <v>2.6192466666666663</v>
      </c>
      <c r="P4">
        <f aca="true" t="shared" si="1" ref="P4:P11">E4*$B$92</f>
        <v>0.9855600000000001</v>
      </c>
    </row>
    <row r="5" spans="2:16" ht="24.75" thickBot="1">
      <c r="B5" s="81">
        <v>3</v>
      </c>
      <c r="C5" s="82" t="s">
        <v>57</v>
      </c>
      <c r="D5" s="83" t="s">
        <v>50</v>
      </c>
      <c r="E5" s="84">
        <v>39.1</v>
      </c>
      <c r="F5" s="85" t="s">
        <v>28</v>
      </c>
      <c r="G5" s="84">
        <v>0.0189</v>
      </c>
      <c r="H5" s="85" t="s">
        <v>29</v>
      </c>
      <c r="I5" s="84" t="s">
        <v>51</v>
      </c>
      <c r="J5" s="85" t="s">
        <v>52</v>
      </c>
      <c r="K5" s="84" t="s">
        <v>30</v>
      </c>
      <c r="L5" s="86" t="s">
        <v>54</v>
      </c>
      <c r="M5" s="89">
        <f t="shared" si="0"/>
        <v>0.0693</v>
      </c>
      <c r="N5" s="90" t="s">
        <v>55</v>
      </c>
      <c r="O5">
        <f aca="true" t="shared" si="2" ref="O5:O11">M5*E5</f>
        <v>2.70963</v>
      </c>
      <c r="P5">
        <f t="shared" si="1"/>
        <v>1.00878</v>
      </c>
    </row>
    <row r="6" spans="2:16" ht="24.75" thickBot="1">
      <c r="B6" s="81">
        <v>4</v>
      </c>
      <c r="C6" s="82" t="s">
        <v>58</v>
      </c>
      <c r="D6" s="83" t="s">
        <v>50</v>
      </c>
      <c r="E6" s="84">
        <v>41.7</v>
      </c>
      <c r="F6" s="85" t="s">
        <v>28</v>
      </c>
      <c r="G6" s="84">
        <v>0.0195</v>
      </c>
      <c r="H6" s="85" t="s">
        <v>29</v>
      </c>
      <c r="I6" s="84" t="s">
        <v>51</v>
      </c>
      <c r="J6" s="85" t="s">
        <v>52</v>
      </c>
      <c r="K6" s="84" t="s">
        <v>30</v>
      </c>
      <c r="L6" s="86" t="s">
        <v>54</v>
      </c>
      <c r="M6" s="89">
        <f t="shared" si="0"/>
        <v>0.0715</v>
      </c>
      <c r="N6" s="90" t="s">
        <v>55</v>
      </c>
      <c r="O6">
        <f t="shared" si="2"/>
        <v>2.98155</v>
      </c>
      <c r="P6">
        <f t="shared" si="1"/>
        <v>1.07586</v>
      </c>
    </row>
    <row r="7" spans="2:16" ht="25.5" customHeight="1" thickBot="1">
      <c r="B7" s="81">
        <v>5</v>
      </c>
      <c r="C7" s="82" t="s">
        <v>59</v>
      </c>
      <c r="D7" s="83" t="s">
        <v>60</v>
      </c>
      <c r="E7" s="84">
        <v>50.2</v>
      </c>
      <c r="F7" s="85" t="s">
        <v>31</v>
      </c>
      <c r="G7" s="84">
        <v>0.016300000000000002</v>
      </c>
      <c r="H7" s="85" t="s">
        <v>29</v>
      </c>
      <c r="I7" s="84" t="s">
        <v>51</v>
      </c>
      <c r="J7" s="85" t="s">
        <v>52</v>
      </c>
      <c r="K7" s="84" t="s">
        <v>30</v>
      </c>
      <c r="L7" s="86" t="s">
        <v>54</v>
      </c>
      <c r="M7" s="89">
        <f t="shared" si="0"/>
        <v>0.05976666666666667</v>
      </c>
      <c r="N7" s="90" t="s">
        <v>55</v>
      </c>
      <c r="O7">
        <f t="shared" si="2"/>
        <v>3.0002866666666668</v>
      </c>
      <c r="P7">
        <f t="shared" si="1"/>
        <v>1.29516</v>
      </c>
    </row>
    <row r="8" spans="2:16" ht="25.5" customHeight="1" thickBot="1">
      <c r="B8" s="81">
        <v>6</v>
      </c>
      <c r="C8" s="82" t="s">
        <v>24</v>
      </c>
      <c r="D8" s="83" t="s">
        <v>50</v>
      </c>
      <c r="E8" s="84">
        <v>36.7</v>
      </c>
      <c r="F8" s="85" t="s">
        <v>28</v>
      </c>
      <c r="G8" s="84">
        <v>0.0183</v>
      </c>
      <c r="H8" s="85" t="s">
        <v>29</v>
      </c>
      <c r="I8" s="84" t="s">
        <v>51</v>
      </c>
      <c r="J8" s="85" t="s">
        <v>52</v>
      </c>
      <c r="K8" s="84" t="s">
        <v>30</v>
      </c>
      <c r="L8" s="86" t="s">
        <v>54</v>
      </c>
      <c r="M8" s="89">
        <f t="shared" si="0"/>
        <v>0.0671</v>
      </c>
      <c r="N8" s="90" t="s">
        <v>55</v>
      </c>
      <c r="O8">
        <f t="shared" si="2"/>
        <v>2.4625700000000004</v>
      </c>
      <c r="P8">
        <f t="shared" si="1"/>
        <v>0.94686</v>
      </c>
    </row>
    <row r="9" spans="2:16" ht="25.5" customHeight="1" thickBot="1">
      <c r="B9" s="81">
        <v>7</v>
      </c>
      <c r="C9" s="82" t="s">
        <v>32</v>
      </c>
      <c r="D9" s="83" t="s">
        <v>50</v>
      </c>
      <c r="E9" s="84">
        <v>36.7</v>
      </c>
      <c r="F9" s="85" t="s">
        <v>28</v>
      </c>
      <c r="G9" s="84">
        <v>0.0185</v>
      </c>
      <c r="H9" s="85" t="s">
        <v>29</v>
      </c>
      <c r="I9" s="84" t="s">
        <v>51</v>
      </c>
      <c r="J9" s="85" t="s">
        <v>52</v>
      </c>
      <c r="K9" s="84" t="s">
        <v>53</v>
      </c>
      <c r="L9" s="86" t="s">
        <v>54</v>
      </c>
      <c r="M9" s="89">
        <f t="shared" si="0"/>
        <v>0.06783333333333333</v>
      </c>
      <c r="N9" s="90" t="s">
        <v>55</v>
      </c>
      <c r="O9">
        <f t="shared" si="2"/>
        <v>2.4894833333333333</v>
      </c>
      <c r="P9">
        <f t="shared" si="1"/>
        <v>0.94686</v>
      </c>
    </row>
    <row r="10" spans="2:16" ht="24.75" thickBot="1">
      <c r="B10" s="81">
        <v>8</v>
      </c>
      <c r="C10" s="82" t="s">
        <v>33</v>
      </c>
      <c r="D10" s="83" t="s">
        <v>61</v>
      </c>
      <c r="E10" s="84">
        <v>41.1</v>
      </c>
      <c r="F10" s="85" t="s">
        <v>62</v>
      </c>
      <c r="G10" s="84">
        <v>0.013800000000000002</v>
      </c>
      <c r="H10" s="85" t="s">
        <v>29</v>
      </c>
      <c r="I10" s="84" t="s">
        <v>63</v>
      </c>
      <c r="J10" s="85" t="s">
        <v>64</v>
      </c>
      <c r="K10" s="84" t="s">
        <v>65</v>
      </c>
      <c r="L10" s="86" t="s">
        <v>66</v>
      </c>
      <c r="M10" s="89">
        <f t="shared" si="0"/>
        <v>0.050600000000000006</v>
      </c>
      <c r="N10" s="90" t="s">
        <v>67</v>
      </c>
      <c r="O10">
        <f t="shared" si="2"/>
        <v>2.0796600000000005</v>
      </c>
      <c r="P10">
        <f t="shared" si="1"/>
        <v>1.06038</v>
      </c>
    </row>
    <row r="11" spans="2:16" ht="24.75" thickBot="1">
      <c r="B11" s="91">
        <v>9</v>
      </c>
      <c r="C11" s="92" t="s">
        <v>68</v>
      </c>
      <c r="D11" s="93" t="s">
        <v>69</v>
      </c>
      <c r="E11" s="94">
        <f>E18/1000</f>
        <v>0.00976</v>
      </c>
      <c r="F11" s="95" t="s">
        <v>70</v>
      </c>
      <c r="G11" s="94">
        <v>0.000391</v>
      </c>
      <c r="H11" s="95" t="s">
        <v>71</v>
      </c>
      <c r="I11" s="94" t="s">
        <v>72</v>
      </c>
      <c r="J11" s="95" t="s">
        <v>73</v>
      </c>
      <c r="K11" s="94" t="s">
        <v>74</v>
      </c>
      <c r="L11" s="96" t="s">
        <v>75</v>
      </c>
      <c r="M11" s="89">
        <f>G11/E11</f>
        <v>0.04006147540983607</v>
      </c>
      <c r="N11" s="90" t="s">
        <v>76</v>
      </c>
      <c r="O11">
        <f t="shared" si="2"/>
        <v>0.000391</v>
      </c>
      <c r="P11">
        <f t="shared" si="1"/>
        <v>0.000251808</v>
      </c>
    </row>
    <row r="12" ht="13.5">
      <c r="B12" s="97" t="s">
        <v>34</v>
      </c>
    </row>
    <row r="13" ht="13.5">
      <c r="B13" s="97" t="s">
        <v>35</v>
      </c>
    </row>
    <row r="14" ht="13.5">
      <c r="B14" s="97" t="s">
        <v>36</v>
      </c>
    </row>
    <row r="15" ht="13.5">
      <c r="B15" s="97" t="s">
        <v>77</v>
      </c>
    </row>
    <row r="16" ht="13.5">
      <c r="H16">
        <f>E6*G6</f>
        <v>0.81315</v>
      </c>
    </row>
    <row r="17" ht="14.25" thickBot="1"/>
    <row r="18" spans="2:14" ht="24.75" thickBot="1">
      <c r="B18" s="91">
        <v>9</v>
      </c>
      <c r="C18" s="92" t="s">
        <v>68</v>
      </c>
      <c r="D18" s="93" t="s">
        <v>78</v>
      </c>
      <c r="E18" s="94">
        <v>9.76</v>
      </c>
      <c r="F18" s="95" t="s">
        <v>70</v>
      </c>
      <c r="G18" s="94">
        <v>0.000391</v>
      </c>
      <c r="H18" s="95" t="s">
        <v>71</v>
      </c>
      <c r="I18" s="94" t="s">
        <v>72</v>
      </c>
      <c r="J18" s="95" t="s">
        <v>73</v>
      </c>
      <c r="K18" s="94" t="s">
        <v>74</v>
      </c>
      <c r="L18" s="96" t="s">
        <v>75</v>
      </c>
      <c r="M18" s="89">
        <f>G18*1000/E18</f>
        <v>0.04006147540983607</v>
      </c>
      <c r="N18" s="90" t="s">
        <v>76</v>
      </c>
    </row>
    <row r="22" ht="14.25" thickBot="1"/>
    <row r="23" spans="2:11" ht="24.75" thickBot="1">
      <c r="B23" s="78" t="s">
        <v>26</v>
      </c>
      <c r="C23" s="79" t="s">
        <v>27</v>
      </c>
      <c r="D23" s="80" t="s">
        <v>37</v>
      </c>
      <c r="E23" s="309" t="s">
        <v>38</v>
      </c>
      <c r="F23" s="310"/>
      <c r="G23" s="98" t="s">
        <v>79</v>
      </c>
      <c r="H23" s="98" t="s">
        <v>80</v>
      </c>
      <c r="I23" s="98" t="s">
        <v>81</v>
      </c>
      <c r="J23" s="98" t="s">
        <v>82</v>
      </c>
      <c r="K23" s="98" t="s">
        <v>83</v>
      </c>
    </row>
    <row r="24" spans="2:11" ht="15" thickBot="1" thickTop="1">
      <c r="B24" s="81">
        <v>1</v>
      </c>
      <c r="C24" s="82" t="s">
        <v>19</v>
      </c>
      <c r="D24" s="83" t="s">
        <v>39</v>
      </c>
      <c r="E24" s="84">
        <v>34.6</v>
      </c>
      <c r="F24" s="85" t="s">
        <v>28</v>
      </c>
      <c r="G24" s="99" t="s">
        <v>84</v>
      </c>
      <c r="H24" s="99"/>
      <c r="I24" s="99"/>
      <c r="J24" s="99" t="s">
        <v>84</v>
      </c>
      <c r="K24" s="99" t="s">
        <v>84</v>
      </c>
    </row>
    <row r="25" spans="2:11" ht="14.25" thickBot="1">
      <c r="B25" s="81">
        <v>2</v>
      </c>
      <c r="C25" s="82" t="s">
        <v>20</v>
      </c>
      <c r="D25" s="83" t="s">
        <v>39</v>
      </c>
      <c r="E25" s="84">
        <v>38.2</v>
      </c>
      <c r="F25" s="85" t="s">
        <v>28</v>
      </c>
      <c r="G25" s="99" t="s">
        <v>84</v>
      </c>
      <c r="H25" s="99" t="s">
        <v>84</v>
      </c>
      <c r="I25" s="99" t="s">
        <v>84</v>
      </c>
      <c r="J25" s="99"/>
      <c r="K25" s="99" t="s">
        <v>84</v>
      </c>
    </row>
    <row r="26" spans="2:11" ht="14.25" thickBot="1">
      <c r="B26" s="81">
        <v>3</v>
      </c>
      <c r="C26" s="82" t="s">
        <v>21</v>
      </c>
      <c r="D26" s="83" t="s">
        <v>39</v>
      </c>
      <c r="E26" s="84">
        <v>39.1</v>
      </c>
      <c r="F26" s="85" t="s">
        <v>28</v>
      </c>
      <c r="G26" s="99"/>
      <c r="H26" s="99" t="s">
        <v>84</v>
      </c>
      <c r="I26" s="99"/>
      <c r="J26" s="99"/>
      <c r="K26" s="99" t="s">
        <v>84</v>
      </c>
    </row>
    <row r="27" spans="2:11" ht="14.25" thickBot="1">
      <c r="B27" s="81">
        <v>4</v>
      </c>
      <c r="C27" s="82"/>
      <c r="D27" s="83"/>
      <c r="E27" s="84"/>
      <c r="F27" s="85"/>
      <c r="G27" s="99"/>
      <c r="H27" s="99"/>
      <c r="I27" s="99"/>
      <c r="J27" s="99"/>
      <c r="K27" s="99"/>
    </row>
    <row r="28" spans="2:11" ht="14.25" thickBot="1">
      <c r="B28" s="81">
        <v>5</v>
      </c>
      <c r="C28" s="82" t="s">
        <v>85</v>
      </c>
      <c r="D28" s="83" t="s">
        <v>39</v>
      </c>
      <c r="E28" s="84">
        <v>41.7</v>
      </c>
      <c r="F28" s="85" t="s">
        <v>28</v>
      </c>
      <c r="G28" s="99"/>
      <c r="H28" s="99" t="s">
        <v>84</v>
      </c>
      <c r="I28" s="99"/>
      <c r="J28" s="99"/>
      <c r="K28" s="99" t="s">
        <v>84</v>
      </c>
    </row>
    <row r="29" spans="2:11" ht="24.75" thickBot="1">
      <c r="B29" s="81">
        <v>6</v>
      </c>
      <c r="C29" s="82" t="s">
        <v>40</v>
      </c>
      <c r="D29" s="83" t="s">
        <v>41</v>
      </c>
      <c r="E29" s="84">
        <v>50.2</v>
      </c>
      <c r="F29" s="85" t="s">
        <v>31</v>
      </c>
      <c r="G29" s="99" t="s">
        <v>84</v>
      </c>
      <c r="H29" s="99"/>
      <c r="I29" s="99"/>
      <c r="J29" s="99"/>
      <c r="K29" s="99" t="s">
        <v>84</v>
      </c>
    </row>
    <row r="30" spans="2:11" ht="24.75" thickBot="1">
      <c r="B30" s="81">
        <v>7</v>
      </c>
      <c r="C30" s="82" t="s">
        <v>24</v>
      </c>
      <c r="D30" s="83" t="s">
        <v>39</v>
      </c>
      <c r="E30" s="84">
        <v>36.7</v>
      </c>
      <c r="F30" s="85" t="s">
        <v>28</v>
      </c>
      <c r="G30" s="99"/>
      <c r="H30" s="99"/>
      <c r="I30" s="99"/>
      <c r="J30" s="99" t="s">
        <v>84</v>
      </c>
      <c r="K30" s="99" t="s">
        <v>84</v>
      </c>
    </row>
    <row r="31" spans="2:11" ht="14.25" thickBot="1">
      <c r="B31" s="81">
        <v>8</v>
      </c>
      <c r="C31" s="82" t="s">
        <v>32</v>
      </c>
      <c r="D31" s="83" t="s">
        <v>39</v>
      </c>
      <c r="E31" s="84">
        <v>36.7</v>
      </c>
      <c r="F31" s="85" t="s">
        <v>28</v>
      </c>
      <c r="G31" s="99"/>
      <c r="H31" s="99"/>
      <c r="I31" s="99"/>
      <c r="J31" s="99"/>
      <c r="K31" s="99" t="s">
        <v>84</v>
      </c>
    </row>
    <row r="32" spans="2:11" ht="15" thickBot="1">
      <c r="B32" s="81">
        <v>9</v>
      </c>
      <c r="C32" s="82" t="s">
        <v>33</v>
      </c>
      <c r="D32" s="83" t="s">
        <v>86</v>
      </c>
      <c r="E32" s="84" t="s">
        <v>42</v>
      </c>
      <c r="F32" s="85" t="s">
        <v>62</v>
      </c>
      <c r="G32" s="99" t="s">
        <v>84</v>
      </c>
      <c r="H32" s="99"/>
      <c r="I32" s="99"/>
      <c r="J32" s="99"/>
      <c r="K32" s="99" t="s">
        <v>84</v>
      </c>
    </row>
    <row r="33" spans="2:11" ht="14.25" thickBot="1">
      <c r="B33" s="81"/>
      <c r="C33" s="82" t="s">
        <v>68</v>
      </c>
      <c r="D33" s="83"/>
      <c r="E33" s="84"/>
      <c r="F33" s="85"/>
      <c r="G33" s="99" t="s">
        <v>87</v>
      </c>
      <c r="I33" s="99" t="s">
        <v>87</v>
      </c>
      <c r="K33" s="99" t="s">
        <v>87</v>
      </c>
    </row>
    <row r="40" ht="13.5">
      <c r="A40" s="100" t="s">
        <v>88</v>
      </c>
    </row>
    <row r="42" spans="3:4" ht="14.25" thickBot="1">
      <c r="C42" s="101"/>
      <c r="D42" s="101"/>
    </row>
    <row r="43" spans="2:15" ht="13.5">
      <c r="B43" s="327" t="s">
        <v>89</v>
      </c>
      <c r="C43" s="333" t="s">
        <v>90</v>
      </c>
      <c r="D43" s="333" t="s">
        <v>91</v>
      </c>
      <c r="E43" s="336"/>
      <c r="F43" s="314" t="s">
        <v>92</v>
      </c>
      <c r="G43" s="315"/>
      <c r="H43" s="315"/>
      <c r="I43" s="315"/>
      <c r="J43" s="315"/>
      <c r="K43" s="316"/>
      <c r="L43" s="320" t="s">
        <v>93</v>
      </c>
      <c r="M43" s="321"/>
      <c r="N43" s="321"/>
      <c r="O43" s="322"/>
    </row>
    <row r="44" spans="2:15" ht="13.5">
      <c r="B44" s="328"/>
      <c r="C44" s="334"/>
      <c r="D44" s="334"/>
      <c r="E44" s="337"/>
      <c r="F44" s="317"/>
      <c r="G44" s="318"/>
      <c r="H44" s="318"/>
      <c r="I44" s="318"/>
      <c r="J44" s="318"/>
      <c r="K44" s="319"/>
      <c r="L44" s="323" t="s">
        <v>94</v>
      </c>
      <c r="M44" s="324"/>
      <c r="N44" s="325" t="s">
        <v>95</v>
      </c>
      <c r="O44" s="326"/>
    </row>
    <row r="45" spans="2:15" ht="13.5">
      <c r="B45" s="329"/>
      <c r="C45" s="335"/>
      <c r="D45" s="335"/>
      <c r="E45" s="104" t="s">
        <v>96</v>
      </c>
      <c r="F45" s="105">
        <v>0.1</v>
      </c>
      <c r="G45" s="105">
        <v>0.2</v>
      </c>
      <c r="H45" s="105">
        <v>0.4</v>
      </c>
      <c r="I45" s="105">
        <v>0.6</v>
      </c>
      <c r="J45" s="105">
        <v>0.8</v>
      </c>
      <c r="K45" s="106">
        <v>1</v>
      </c>
      <c r="L45" s="107" t="s">
        <v>97</v>
      </c>
      <c r="M45" s="102" t="s">
        <v>98</v>
      </c>
      <c r="N45" s="76" t="s">
        <v>97</v>
      </c>
      <c r="O45" s="103" t="s">
        <v>98</v>
      </c>
    </row>
    <row r="46" spans="2:15" ht="13.5">
      <c r="B46" s="311" t="s">
        <v>99</v>
      </c>
      <c r="C46" s="284" t="s">
        <v>100</v>
      </c>
      <c r="D46" s="108" t="s">
        <v>25</v>
      </c>
      <c r="E46" s="109">
        <v>350</v>
      </c>
      <c r="F46" s="110">
        <f aca="true" t="shared" si="3" ref="F46:K48">ROUND(EXP($E$66*LN(F$45)+$F$66*LN($E46)+$G$66),3)</f>
        <v>2.742</v>
      </c>
      <c r="G46" s="110">
        <f t="shared" si="3"/>
        <v>1.442</v>
      </c>
      <c r="H46" s="110">
        <f t="shared" si="3"/>
        <v>0.758</v>
      </c>
      <c r="I46" s="110">
        <f t="shared" si="3"/>
        <v>0.521</v>
      </c>
      <c r="J46" s="110">
        <f t="shared" si="3"/>
        <v>0.399</v>
      </c>
      <c r="K46" s="111">
        <f t="shared" si="3"/>
        <v>0.324</v>
      </c>
      <c r="L46" s="112">
        <v>0.1</v>
      </c>
      <c r="M46" s="113">
        <v>0.408</v>
      </c>
      <c r="N46" s="114">
        <f aca="true" t="shared" si="4" ref="N46:O48">L46^$E$66*$E46^$F$66*EXP($G$66)</f>
        <v>2.7416383978078325</v>
      </c>
      <c r="O46" s="115">
        <f t="shared" si="4"/>
        <v>0.744608865544832</v>
      </c>
    </row>
    <row r="47" spans="2:15" ht="13.5">
      <c r="B47" s="282"/>
      <c r="C47" s="276"/>
      <c r="D47" s="116" t="s">
        <v>101</v>
      </c>
      <c r="E47" s="109">
        <v>1000</v>
      </c>
      <c r="F47" s="110">
        <f t="shared" si="3"/>
        <v>1.389</v>
      </c>
      <c r="G47" s="110">
        <f t="shared" si="3"/>
        <v>0.73</v>
      </c>
      <c r="H47" s="110">
        <f t="shared" si="3"/>
        <v>0.384</v>
      </c>
      <c r="I47" s="110">
        <f t="shared" si="3"/>
        <v>0.264</v>
      </c>
      <c r="J47" s="110">
        <f t="shared" si="3"/>
        <v>0.202</v>
      </c>
      <c r="K47" s="111">
        <f t="shared" si="3"/>
        <v>0.164</v>
      </c>
      <c r="L47" s="112">
        <v>0.1</v>
      </c>
      <c r="M47" s="113">
        <v>0.32</v>
      </c>
      <c r="N47" s="114">
        <f t="shared" si="4"/>
        <v>1.3885651675281108</v>
      </c>
      <c r="O47" s="115">
        <f t="shared" si="4"/>
        <v>0.47238079940599426</v>
      </c>
    </row>
    <row r="48" spans="2:15" ht="13.5">
      <c r="B48" s="283"/>
      <c r="C48" s="277"/>
      <c r="D48" s="117" t="s">
        <v>102</v>
      </c>
      <c r="E48" s="118">
        <v>2000</v>
      </c>
      <c r="F48" s="110">
        <f t="shared" si="3"/>
        <v>0.886</v>
      </c>
      <c r="G48" s="110">
        <f t="shared" si="3"/>
        <v>0.466</v>
      </c>
      <c r="H48" s="110">
        <f t="shared" si="3"/>
        <v>0.245</v>
      </c>
      <c r="I48" s="110">
        <f t="shared" si="3"/>
        <v>0.168</v>
      </c>
      <c r="J48" s="110">
        <f t="shared" si="3"/>
        <v>0.129</v>
      </c>
      <c r="K48" s="111">
        <f t="shared" si="3"/>
        <v>0.105</v>
      </c>
      <c r="L48" s="112">
        <v>0.238</v>
      </c>
      <c r="M48" s="113">
        <v>0.523</v>
      </c>
      <c r="N48" s="114">
        <f t="shared" si="4"/>
        <v>0.3966541388953073</v>
      </c>
      <c r="O48" s="115">
        <f t="shared" si="4"/>
        <v>0.1911823360410686</v>
      </c>
    </row>
    <row r="49" spans="2:15" ht="13.5">
      <c r="B49" s="278" t="s">
        <v>103</v>
      </c>
      <c r="C49" s="281" t="s">
        <v>104</v>
      </c>
      <c r="D49" s="119" t="s">
        <v>105</v>
      </c>
      <c r="E49" s="109">
        <v>500</v>
      </c>
      <c r="F49" s="110">
        <f aca="true" t="shared" si="5" ref="F49:K56">ROUND(EXP($E$67*LN(F$45)+$F$67*LN($E49)+$G$67),3)</f>
        <v>1.674</v>
      </c>
      <c r="G49" s="110">
        <f t="shared" si="5"/>
        <v>0.954</v>
      </c>
      <c r="H49" s="110">
        <f t="shared" si="5"/>
        <v>0.543</v>
      </c>
      <c r="I49" s="110">
        <f t="shared" si="5"/>
        <v>0.391</v>
      </c>
      <c r="J49" s="110">
        <f t="shared" si="5"/>
        <v>0.309</v>
      </c>
      <c r="K49" s="111">
        <f t="shared" si="5"/>
        <v>0.258</v>
      </c>
      <c r="L49" s="112">
        <v>0.1</v>
      </c>
      <c r="M49" s="113">
        <v>0.364</v>
      </c>
      <c r="N49" s="114">
        <f aca="true" t="shared" si="6" ref="N49:O56">L49^$E$67*$E49^$F$67*EXP($G$67)</f>
        <v>1.6742166749463359</v>
      </c>
      <c r="O49" s="115">
        <f t="shared" si="6"/>
        <v>0.5864045610686296</v>
      </c>
    </row>
    <row r="50" spans="2:15" ht="13.5">
      <c r="B50" s="279"/>
      <c r="C50" s="312"/>
      <c r="D50" s="119" t="s">
        <v>106</v>
      </c>
      <c r="E50" s="109">
        <v>1500</v>
      </c>
      <c r="F50" s="110">
        <f t="shared" si="5"/>
        <v>0.816</v>
      </c>
      <c r="G50" s="110">
        <f t="shared" si="5"/>
        <v>0.465</v>
      </c>
      <c r="H50" s="110">
        <f t="shared" si="5"/>
        <v>0.265</v>
      </c>
      <c r="I50" s="110">
        <f t="shared" si="5"/>
        <v>0.191</v>
      </c>
      <c r="J50" s="110">
        <f t="shared" si="5"/>
        <v>0.151</v>
      </c>
      <c r="K50" s="111">
        <f t="shared" si="5"/>
        <v>0.126</v>
      </c>
      <c r="L50" s="112">
        <v>0.172</v>
      </c>
      <c r="M50" s="113">
        <v>0.418</v>
      </c>
      <c r="N50" s="114">
        <f t="shared" si="6"/>
        <v>0.5254425801069664</v>
      </c>
      <c r="O50" s="115">
        <f t="shared" si="6"/>
        <v>0.25549312701589816</v>
      </c>
    </row>
    <row r="51" spans="2:15" ht="13.5">
      <c r="B51" s="279"/>
      <c r="C51" s="312"/>
      <c r="D51" s="119" t="s">
        <v>107</v>
      </c>
      <c r="E51" s="109">
        <v>3000</v>
      </c>
      <c r="F51" s="110">
        <f t="shared" si="5"/>
        <v>0.519</v>
      </c>
      <c r="G51" s="110">
        <f t="shared" si="5"/>
        <v>0.295</v>
      </c>
      <c r="H51" s="110">
        <f t="shared" si="5"/>
        <v>0.168</v>
      </c>
      <c r="I51" s="110">
        <f t="shared" si="5"/>
        <v>0.121</v>
      </c>
      <c r="J51" s="110">
        <f t="shared" si="5"/>
        <v>0.096</v>
      </c>
      <c r="K51" s="111">
        <f t="shared" si="5"/>
        <v>0.08</v>
      </c>
      <c r="L51" s="112">
        <v>0.389</v>
      </c>
      <c r="M51" s="113">
        <v>0.583</v>
      </c>
      <c r="N51" s="114">
        <f t="shared" si="6"/>
        <v>0.17213202150156023</v>
      </c>
      <c r="O51" s="115">
        <f t="shared" si="6"/>
        <v>0.1239304078393041</v>
      </c>
    </row>
    <row r="52" spans="2:15" ht="13.5">
      <c r="B52" s="279"/>
      <c r="C52" s="312"/>
      <c r="D52" s="119" t="s">
        <v>108</v>
      </c>
      <c r="E52" s="109">
        <v>5000</v>
      </c>
      <c r="F52" s="110">
        <f t="shared" si="5"/>
        <v>0.371</v>
      </c>
      <c r="G52" s="110">
        <f t="shared" si="5"/>
        <v>0.212</v>
      </c>
      <c r="H52" s="110">
        <f t="shared" si="5"/>
        <v>0.12</v>
      </c>
      <c r="I52" s="110">
        <f t="shared" si="5"/>
        <v>0.087</v>
      </c>
      <c r="J52" s="110">
        <f t="shared" si="5"/>
        <v>0.069</v>
      </c>
      <c r="K52" s="111">
        <f t="shared" si="5"/>
        <v>0.057</v>
      </c>
      <c r="L52" s="112">
        <v>0.47</v>
      </c>
      <c r="M52" s="113">
        <v>0.65</v>
      </c>
      <c r="N52" s="114">
        <f t="shared" si="6"/>
        <v>0.10569834869916253</v>
      </c>
      <c r="O52" s="115">
        <f t="shared" si="6"/>
        <v>0.08123178891550656</v>
      </c>
    </row>
    <row r="53" spans="2:15" ht="13.5">
      <c r="B53" s="279"/>
      <c r="C53" s="312"/>
      <c r="D53" s="119" t="s">
        <v>109</v>
      </c>
      <c r="E53" s="109">
        <v>7000</v>
      </c>
      <c r="F53" s="110">
        <f t="shared" si="5"/>
        <v>0.298</v>
      </c>
      <c r="G53" s="110">
        <f t="shared" si="5"/>
        <v>0.17</v>
      </c>
      <c r="H53" s="110">
        <f t="shared" si="5"/>
        <v>0.097</v>
      </c>
      <c r="I53" s="110">
        <f t="shared" si="5"/>
        <v>0.07</v>
      </c>
      <c r="J53" s="110">
        <f t="shared" si="5"/>
        <v>0.055</v>
      </c>
      <c r="K53" s="111">
        <f t="shared" si="5"/>
        <v>0.046</v>
      </c>
      <c r="L53" s="112">
        <v>0.527</v>
      </c>
      <c r="M53" s="113">
        <v>0.601</v>
      </c>
      <c r="N53" s="114">
        <f t="shared" si="6"/>
        <v>0.07729185104383582</v>
      </c>
      <c r="O53" s="115">
        <f t="shared" si="6"/>
        <v>0.06947008920174372</v>
      </c>
    </row>
    <row r="54" spans="2:15" ht="13.5">
      <c r="B54" s="279"/>
      <c r="C54" s="312"/>
      <c r="D54" s="119" t="s">
        <v>110</v>
      </c>
      <c r="E54" s="109">
        <v>9000</v>
      </c>
      <c r="F54" s="110">
        <f t="shared" si="5"/>
        <v>0.253</v>
      </c>
      <c r="G54" s="110">
        <f t="shared" si="5"/>
        <v>0.144</v>
      </c>
      <c r="H54" s="110">
        <f t="shared" si="5"/>
        <v>0.082</v>
      </c>
      <c r="I54" s="110">
        <f t="shared" si="5"/>
        <v>0.059</v>
      </c>
      <c r="J54" s="110">
        <f t="shared" si="5"/>
        <v>0.047</v>
      </c>
      <c r="K54" s="111">
        <f t="shared" si="5"/>
        <v>0.039</v>
      </c>
      <c r="L54" s="112">
        <v>0.523</v>
      </c>
      <c r="M54" s="113">
        <v>0.648</v>
      </c>
      <c r="N54" s="114">
        <f t="shared" si="6"/>
        <v>0.06598421789722567</v>
      </c>
      <c r="O54" s="115">
        <f t="shared" si="6"/>
        <v>0.055445274766151756</v>
      </c>
    </row>
    <row r="55" spans="2:15" ht="13.5">
      <c r="B55" s="279"/>
      <c r="C55" s="312"/>
      <c r="D55" s="119" t="s">
        <v>111</v>
      </c>
      <c r="E55" s="109">
        <v>11000</v>
      </c>
      <c r="F55" s="110">
        <f t="shared" si="5"/>
        <v>0.222</v>
      </c>
      <c r="G55" s="110">
        <f t="shared" si="5"/>
        <v>0.126</v>
      </c>
      <c r="H55" s="110">
        <f t="shared" si="5"/>
        <v>0.072</v>
      </c>
      <c r="I55" s="110">
        <f t="shared" si="5"/>
        <v>0.052</v>
      </c>
      <c r="J55" s="110">
        <f t="shared" si="5"/>
        <v>0.041</v>
      </c>
      <c r="K55" s="111">
        <f t="shared" si="5"/>
        <v>0.034</v>
      </c>
      <c r="L55" s="112">
        <v>0.581</v>
      </c>
      <c r="M55" s="113">
        <v>0.65</v>
      </c>
      <c r="N55" s="114">
        <f t="shared" si="6"/>
        <v>0.053132005675410245</v>
      </c>
      <c r="O55" s="115">
        <f t="shared" si="6"/>
        <v>0.048504449984139573</v>
      </c>
    </row>
    <row r="56" spans="2:15" ht="14.25" thickBot="1">
      <c r="B56" s="280"/>
      <c r="C56" s="313"/>
      <c r="D56" s="120" t="s">
        <v>112</v>
      </c>
      <c r="E56" s="121">
        <v>14500</v>
      </c>
      <c r="F56" s="122">
        <f t="shared" si="5"/>
        <v>0.185</v>
      </c>
      <c r="G56" s="122">
        <f t="shared" si="5"/>
        <v>0.105</v>
      </c>
      <c r="H56" s="122">
        <f t="shared" si="5"/>
        <v>0.06</v>
      </c>
      <c r="I56" s="122">
        <f t="shared" si="5"/>
        <v>0.043</v>
      </c>
      <c r="J56" s="122">
        <f t="shared" si="5"/>
        <v>0.034</v>
      </c>
      <c r="K56" s="123">
        <f t="shared" si="5"/>
        <v>0.029</v>
      </c>
      <c r="L56" s="124">
        <v>0.533</v>
      </c>
      <c r="M56" s="125">
        <v>0.601</v>
      </c>
      <c r="N56" s="126">
        <f t="shared" si="6"/>
        <v>0.04756646517940334</v>
      </c>
      <c r="O56" s="127">
        <f t="shared" si="6"/>
        <v>0.043147665301424776</v>
      </c>
    </row>
    <row r="58" spans="2:12" ht="13.5">
      <c r="B58" t="s">
        <v>113</v>
      </c>
      <c r="C58" t="s">
        <v>114</v>
      </c>
      <c r="L58" s="128" t="s">
        <v>115</v>
      </c>
    </row>
    <row r="59" spans="2:3" ht="13.5">
      <c r="B59" t="s">
        <v>116</v>
      </c>
      <c r="C59" t="s">
        <v>117</v>
      </c>
    </row>
    <row r="61" ht="13.5">
      <c r="B61" t="s">
        <v>118</v>
      </c>
    </row>
    <row r="63" ht="13.5">
      <c r="B63" t="s">
        <v>119</v>
      </c>
    </row>
    <row r="64" ht="12" customHeight="1">
      <c r="B64" s="129"/>
    </row>
    <row r="65" spans="2:7" ht="13.5">
      <c r="B65" s="130"/>
      <c r="C65" s="130" t="s">
        <v>120</v>
      </c>
      <c r="D65" s="130" t="s">
        <v>121</v>
      </c>
      <c r="E65" s="130" t="s">
        <v>122</v>
      </c>
      <c r="F65" s="130" t="s">
        <v>123</v>
      </c>
      <c r="G65" s="130" t="s">
        <v>124</v>
      </c>
    </row>
    <row r="66" spans="2:8" ht="13.5">
      <c r="B66" s="130" t="s">
        <v>125</v>
      </c>
      <c r="C66" s="131" t="s">
        <v>126</v>
      </c>
      <c r="D66" s="131" t="s">
        <v>127</v>
      </c>
      <c r="E66" s="132">
        <v>-0.927</v>
      </c>
      <c r="F66" s="132">
        <v>-0.648</v>
      </c>
      <c r="G66" s="132">
        <v>2.67</v>
      </c>
      <c r="H66" s="133"/>
    </row>
    <row r="67" spans="2:9" ht="13.5">
      <c r="B67" s="130" t="s">
        <v>128</v>
      </c>
      <c r="C67" s="131"/>
      <c r="D67" s="131"/>
      <c r="E67" s="132">
        <v>-0.812</v>
      </c>
      <c r="F67" s="132">
        <v>-0.654</v>
      </c>
      <c r="G67" s="132">
        <v>2.71</v>
      </c>
      <c r="H67" s="133"/>
      <c r="I67" s="133"/>
    </row>
    <row r="75" ht="13.5">
      <c r="A75" s="100" t="s">
        <v>88</v>
      </c>
    </row>
    <row r="76" ht="14.25" thickBot="1"/>
    <row r="77" spans="2:5" ht="40.5">
      <c r="B77" s="331" t="s">
        <v>43</v>
      </c>
      <c r="C77" s="134" t="s">
        <v>307</v>
      </c>
      <c r="D77" s="135" t="s">
        <v>129</v>
      </c>
      <c r="E77" s="136" t="s">
        <v>130</v>
      </c>
    </row>
    <row r="78" spans="2:5" ht="27.75" thickBot="1">
      <c r="B78" s="332"/>
      <c r="C78" s="137" t="s">
        <v>147</v>
      </c>
      <c r="D78" s="138" t="s">
        <v>131</v>
      </c>
      <c r="E78" s="138" t="s">
        <v>132</v>
      </c>
    </row>
    <row r="79" spans="2:5" ht="14.25" thickBot="1">
      <c r="B79" s="139" t="s">
        <v>22</v>
      </c>
      <c r="C79" s="140">
        <v>0.491</v>
      </c>
      <c r="D79" s="212">
        <v>21.9</v>
      </c>
      <c r="E79" s="141">
        <f>D79/C79/1000</f>
        <v>0.044602851323828914</v>
      </c>
    </row>
    <row r="80" spans="2:5" ht="14.25" thickBot="1">
      <c r="B80" s="139" t="s">
        <v>137</v>
      </c>
      <c r="C80" s="137">
        <v>0.555</v>
      </c>
      <c r="D80" s="212">
        <v>39.3</v>
      </c>
      <c r="E80" s="141">
        <f>D80/C80/1000</f>
        <v>0.0708108108108108</v>
      </c>
    </row>
    <row r="81" spans="2:5" ht="14.25" thickBot="1">
      <c r="B81" s="207" t="s">
        <v>23</v>
      </c>
      <c r="C81" s="137">
        <v>22.2</v>
      </c>
      <c r="D81" s="213">
        <v>1490</v>
      </c>
      <c r="E81" s="141">
        <f>D81/C81/1000</f>
        <v>0.06711711711711711</v>
      </c>
    </row>
    <row r="82" spans="2:5" ht="14.25" thickBot="1">
      <c r="B82" s="208" t="s">
        <v>302</v>
      </c>
      <c r="C82" s="208"/>
      <c r="D82" s="214">
        <v>173</v>
      </c>
      <c r="E82" s="209"/>
    </row>
    <row r="83" spans="2:5" ht="14.25" thickBot="1">
      <c r="B83" s="208" t="s">
        <v>303</v>
      </c>
      <c r="C83" s="208"/>
      <c r="D83" s="214">
        <v>808</v>
      </c>
      <c r="E83" s="210"/>
    </row>
    <row r="84" spans="2:5" ht="14.25" thickBot="1">
      <c r="B84" s="208" t="s">
        <v>304</v>
      </c>
      <c r="C84" s="208"/>
      <c r="D84" s="214">
        <v>1951</v>
      </c>
      <c r="E84" s="210"/>
    </row>
    <row r="85" spans="2:5" ht="14.25" thickBot="1">
      <c r="B85" s="208" t="s">
        <v>305</v>
      </c>
      <c r="C85" s="208"/>
      <c r="D85" s="214">
        <v>394</v>
      </c>
      <c r="E85" s="210"/>
    </row>
    <row r="86" spans="2:5" ht="14.25" thickBot="1">
      <c r="B86" s="208" t="s">
        <v>306</v>
      </c>
      <c r="C86" s="208"/>
      <c r="D86" s="214">
        <v>3443</v>
      </c>
      <c r="E86" s="211"/>
    </row>
    <row r="91" ht="14.25" thickBot="1">
      <c r="A91" s="100" t="s">
        <v>133</v>
      </c>
    </row>
    <row r="92" spans="2:3" ht="14.25" thickBot="1">
      <c r="B92" s="142">
        <v>0.0258</v>
      </c>
      <c r="C92" s="143" t="s">
        <v>134</v>
      </c>
    </row>
  </sheetData>
  <sheetProtection password="C9A1" sheet="1" objects="1" scenarios="1" selectLockedCells="1" selectUnlockedCells="1"/>
  <mergeCells count="19">
    <mergeCell ref="B77:B78"/>
    <mergeCell ref="C43:C45"/>
    <mergeCell ref="D43:D45"/>
    <mergeCell ref="E43:E44"/>
    <mergeCell ref="K2:L2"/>
    <mergeCell ref="E23:F23"/>
    <mergeCell ref="E2:F2"/>
    <mergeCell ref="G2:H2"/>
    <mergeCell ref="I2:J2"/>
    <mergeCell ref="M2:N2"/>
    <mergeCell ref="B46:B48"/>
    <mergeCell ref="C46:C48"/>
    <mergeCell ref="B49:B56"/>
    <mergeCell ref="C49:C56"/>
    <mergeCell ref="F43:K44"/>
    <mergeCell ref="L43:O43"/>
    <mergeCell ref="L44:M44"/>
    <mergeCell ref="N44:O44"/>
    <mergeCell ref="B43:B45"/>
  </mergeCells>
  <printOptions/>
  <pageMargins left="0.7874015748031497" right="0.3937007874015748" top="0.3937007874015748" bottom="0.3937007874015748" header="0.5118110236220472" footer="0.5118110236220472"/>
  <pageSetup horizontalDpi="300" verticalDpi="3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研究開発第一部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福塚祐子</dc:creator>
  <cp:keywords/>
  <dc:description/>
  <cp:lastModifiedBy>行政情報システム室</cp:lastModifiedBy>
  <cp:lastPrinted>2007-05-31T04:55:52Z</cp:lastPrinted>
  <dcterms:created xsi:type="dcterms:W3CDTF">2002-05-16T14:12:40Z</dcterms:created>
  <dcterms:modified xsi:type="dcterms:W3CDTF">2007-06-25T09:41:42Z</dcterms:modified>
  <cp:category/>
  <cp:version/>
  <cp:contentType/>
  <cp:contentStatus/>
</cp:coreProperties>
</file>