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65521" windowWidth="9450" windowHeight="11640" tabRatio="595" activeTab="0"/>
  </bookViews>
  <sheets>
    <sheet name="表紙" sheetId="1" r:id="rId1"/>
    <sheet name="質問" sheetId="2" r:id="rId2"/>
    <sheet name="結果" sheetId="3" r:id="rId3"/>
    <sheet name="結果 (原案)" sheetId="4" state="hidden" r:id="rId4"/>
    <sheet name="チェックシートの感想" sheetId="5" state="hidden" r:id="rId5"/>
    <sheet name="回答算出" sheetId="6" state="hidden" r:id="rId6"/>
    <sheet name="回答算出データシート１" sheetId="7" state="hidden" r:id="rId7"/>
    <sheet name="回答算出データシート2" sheetId="8" state="hidden" r:id="rId8"/>
    <sheet name="回答算出データシート３" sheetId="9" state="hidden" r:id="rId9"/>
  </sheets>
  <definedNames>
    <definedName name="_xlnm.Print_Area" localSheetId="4">'チェックシートの感想'!$B$1:$I$30</definedName>
    <definedName name="_xlnm.Print_Area" localSheetId="5">'回答算出'!$A$1:$L$198</definedName>
    <definedName name="_xlnm.Print_Area" localSheetId="6">'回答算出データシート１'!$A$1:$AF$102</definedName>
    <definedName name="_xlnm.Print_Area" localSheetId="7">'回答算出データシート2'!$A$1:$S$33</definedName>
    <definedName name="_xlnm.Print_Area" localSheetId="8">'回答算出データシート３'!$A$1:$M$309</definedName>
    <definedName name="_xlnm.Print_Area" localSheetId="2">'結果'!$A$1:$J$157</definedName>
    <definedName name="_xlnm.Print_Area" localSheetId="3">'結果 (原案)'!$A$1:$J$162</definedName>
    <definedName name="_xlnm.Print_Area" localSheetId="1">'質問'!$A$1:$M$178</definedName>
    <definedName name="_xlnm.Print_Area" localSheetId="0">'表紙'!$A$1:$B$50</definedName>
  </definedNames>
  <calcPr fullCalcOnLoad="1"/>
</workbook>
</file>

<file path=xl/sharedStrings.xml><?xml version="1.0" encoding="utf-8"?>
<sst xmlns="http://schemas.openxmlformats.org/spreadsheetml/2006/main" count="1668" uniqueCount="761">
  <si>
    <t>温熱</t>
  </si>
  <si>
    <t>(定格一次エネルギー消費）</t>
  </si>
  <si>
    <t>kJ/h/㎡</t>
  </si>
  <si>
    <t>kJ/h/㎡</t>
  </si>
  <si>
    <t>冷熱容量</t>
  </si>
  <si>
    <t>MJ/年</t>
  </si>
  <si>
    <t>%(不要室面積割合)</t>
  </si>
  <si>
    <t>シミュレーション（22℃→20℃）</t>
  </si>
  <si>
    <t>シミュレーション（26℃→28℃）</t>
  </si>
  <si>
    <t>階数</t>
  </si>
  <si>
    <t>階</t>
  </si>
  <si>
    <t>周期</t>
  </si>
  <si>
    <t>照明器具の交換周期を決めていない場合、理由として下記のどれが最も近いですか？</t>
  </si>
  <si>
    <t>その他</t>
  </si>
  <si>
    <t>ブラインドを閉める必要がないと考えるから（北向き・隣接建物の影になる）</t>
  </si>
  <si>
    <t>玉切れのときに随時交換しているから</t>
  </si>
  <si>
    <t>定期清掃範囲に含まれていないから</t>
  </si>
  <si>
    <t>清掃（交換）しなくても支障がないから</t>
  </si>
  <si>
    <t>啓発活動</t>
  </si>
  <si>
    <t>職員エリア</t>
  </si>
  <si>
    <t>来庁者エリア</t>
  </si>
  <si>
    <t>一部の機種は省電力モード機能が組み込まれていないから</t>
  </si>
  <si>
    <t>職員ｴﾘｱ</t>
  </si>
  <si>
    <t>来庁者ｴﾘｱ</t>
  </si>
  <si>
    <t>利用者の協力が得られないから</t>
  </si>
  <si>
    <t>利用者の協力が得られないから（暑いから)</t>
  </si>
  <si>
    <t>　このチェックシートは、日頃の省エネルギーへの取組状況等を記入いただくことにより簡易にその成果の評価を行うものであり、併せて、身近な努力による省エネルギーの可能性の余地を定量的に捉えることにより、更なる省エネルギーへの取組を推進していただくことを期待したものです。
　また、本結果は、国土交通省が省エネルギー対策の助言・指導を行うための基礎資料となるとともに、全官庁施設の自助努力によるエネルギー削減可能性を類推するための基礎データともなります。
　つきましては、下記記入要領に基づき、チェックシートに記入いただきますようお願いいたします。</t>
  </si>
  <si>
    <t>・</t>
  </si>
  <si>
    <t>合同庁舎の場合には、管理官署、入居官署それぞれで本チェックシートにご記入下さい。（施設管理者様にはお手数ですが、入居官署の方にもご協力をお願いいただけると幸いです）。（約３０分程度でお答えいただける内容です。）</t>
  </si>
  <si>
    <t>・</t>
  </si>
  <si>
    <t>マイクロソフト　エクセルをお持ちの場合は、「施設管理チェックシート（フォーマット）．ｘｌｓ」を開いていただき、エクセル上でご回答ください。お持ちでない場合は、調査用紙に直接記入してください。</t>
  </si>
  <si>
    <t>・</t>
  </si>
  <si>
    <t>職員エリア・・・上級室、事務室、会議室等、基本的に職員が専用で業務を行なっているエリアを言います。</t>
  </si>
  <si>
    <t>来庁者エリア・・・基本的に窓口業務を行なっていて、不特定多数の来庁者が使用する待合室等のエリアを言います。</t>
  </si>
  <si>
    <t>その他、廊下、洗面所等の共用部分については、来庁者の利用頻度が低い部分については職員エリア、高い部分については来庁者エリアとして計上してください。</t>
  </si>
  <si>
    <t>・</t>
  </si>
  <si>
    <t>・</t>
  </si>
  <si>
    <t>②チェックシート［質問編］への記入</t>
  </si>
  <si>
    <t>・</t>
  </si>
  <si>
    <t>③チェックシート［結果編］について</t>
  </si>
  <si>
    <t>④「チェックシートの感想」への記入</t>
  </si>
  <si>
    <t>Ｑ９．冷暖房時に窓・扉は閉めていますか？</t>
  </si>
  <si>
    <t>■チェックシートの感想・アンケート</t>
  </si>
  <si>
    <t>1.はい　2.いいえ</t>
  </si>
  <si>
    <t>Ｑ４．あなたの施設のチェックシート[質問編］へのご回答時間はどの程度でしたしょうか？</t>
  </si>
  <si>
    <t>　</t>
  </si>
  <si>
    <r>
      <t>（・管理官署　　</t>
    </r>
    <r>
      <rPr>
        <strike/>
        <sz val="11"/>
        <rFont val="ＭＳ Ｐゴシック"/>
        <family val="3"/>
      </rPr>
      <t>・入居官署</t>
    </r>
    <r>
      <rPr>
        <sz val="11"/>
        <rFont val="ＭＳ Ｐゴシック"/>
        <family val="3"/>
      </rPr>
      <t>）</t>
    </r>
  </si>
  <si>
    <t>■あなたの施設のチェックシート［結果編］</t>
  </si>
  <si>
    <t>・現在のあなたの施設の増エネ危険度をランク別で示します。</t>
  </si>
  <si>
    <t>各質問に沿って（「1.はい」、「2.いいえ(出来ない）」）または、（「1.はい」、「2.いいえ」、「3.わからない」）及び、実施率（「1.はい」にご回答の場合）について選択をお願いいたします。（Ｑ２５－１及びＱ２５－２については設定温度を記載してください。）</t>
  </si>
  <si>
    <t>・</t>
  </si>
  <si>
    <t>・</t>
  </si>
  <si>
    <t>・本マニュアルをより使用しやすいものとするため、「あなたの施設のチェックシート[質問編]」ご記入に際しての感想や分かり易さについてのアンケートにお答え下さい。</t>
  </si>
  <si>
    <t>利用者の協力が得られないから（寒いから)</t>
  </si>
  <si>
    <t>利用者の協力が得られないから（空調停止スイッチの操作が面倒/わからない・消すと暑い/寒い)</t>
  </si>
  <si>
    <t>利用者の協力が得られないから（扉の開閉が面倒/不便)</t>
  </si>
  <si>
    <t>利用者の協力が得られないから（ブラインドの開閉が不便)</t>
  </si>
  <si>
    <t>利用者の協力が得られないから（ブラインドの開閉が面倒/不便)</t>
  </si>
  <si>
    <t>利用者の協力が得られないから</t>
  </si>
  <si>
    <t>利用者の協力が得られないから(効率を基準として選定してない）</t>
  </si>
  <si>
    <t>利用者の協力が得られないから(ノート型等は使い勝手悪い）</t>
  </si>
  <si>
    <t>利用者の協力が得られないから(切替の設定がされていない）</t>
  </si>
  <si>
    <t>人</t>
  </si>
  <si>
    <t>5分間輸送人数</t>
  </si>
  <si>
    <t>不要室面積</t>
  </si>
  <si>
    <t>現在</t>
  </si>
  <si>
    <t>達成可能</t>
  </si>
  <si>
    <t>50%停止</t>
  </si>
  <si>
    <t>シミュレーション</t>
  </si>
  <si>
    <t>デスクライト電力</t>
  </si>
  <si>
    <t>パソコン電力</t>
  </si>
  <si>
    <t>夜間10時間50%OFF</t>
  </si>
  <si>
    <t>OA電力</t>
  </si>
  <si>
    <t>停止時間</t>
  </si>
  <si>
    <t>使用率</t>
  </si>
  <si>
    <t>使用時間</t>
  </si>
  <si>
    <t>消費電力500W→100W</t>
  </si>
  <si>
    <t>コピー機電力</t>
  </si>
  <si>
    <t>停止可能率</t>
  </si>
  <si>
    <t>消費電力2ｋW→400W</t>
  </si>
  <si>
    <t>現時点における貴施設のコピー機等の自動OFF或いは省電力モードへの切替の採用による省エネ効果は、</t>
  </si>
  <si>
    <t>空調単位風量</t>
  </si>
  <si>
    <t>m3/h/㎡</t>
  </si>
  <si>
    <t>Pa</t>
  </si>
  <si>
    <t>ファン全静圧</t>
  </si>
  <si>
    <t>エネルギー消費</t>
  </si>
  <si>
    <t>MJ/年/㎡</t>
  </si>
  <si>
    <t>フィルター平均圧損8Pa→2Pa(</t>
  </si>
  <si>
    <t>ヶ月)</t>
  </si>
  <si>
    <t>平均照度85%→95%(</t>
  </si>
  <si>
    <t>平均照度80%→90%(</t>
  </si>
  <si>
    <t>年)</t>
  </si>
  <si>
    <t>ヶ月)</t>
  </si>
  <si>
    <t>ヶ月毎で年間1%</t>
  </si>
  <si>
    <t>質問項目</t>
  </si>
  <si>
    <t>Ｑ１．質問の内容は分かりやすかったでしょうか？</t>
  </si>
  <si>
    <t>Ｑ２．回答の仕方は分かりやすかったでしょうか？</t>
  </si>
  <si>
    <t>・</t>
  </si>
  <si>
    <t>分</t>
  </si>
  <si>
    <t>その他、ご感想・ご意見等ございましたらご自由にお書きください。</t>
  </si>
  <si>
    <t/>
  </si>
  <si>
    <t>3.</t>
  </si>
  <si>
    <t>（２）あなたの施設の設備システムの運転に関するチェックリスト</t>
  </si>
  <si>
    <t>点数</t>
  </si>
  <si>
    <t>　合　　計</t>
  </si>
  <si>
    <t>（３）さらなる省エネ可能性量</t>
  </si>
  <si>
    <t>来庁舎エリア</t>
  </si>
  <si>
    <t>Q</t>
  </si>
  <si>
    <t>(kWh)</t>
  </si>
  <si>
    <t>（MJ)</t>
  </si>
  <si>
    <t>現状点数</t>
  </si>
  <si>
    <t>現状</t>
  </si>
  <si>
    <t>努力で</t>
  </si>
  <si>
    <t>カウント</t>
  </si>
  <si>
    <t>努力での</t>
  </si>
  <si>
    <t>理由</t>
  </si>
  <si>
    <t>選択用</t>
  </si>
  <si>
    <t>選択用</t>
  </si>
  <si>
    <t>按分用面積</t>
  </si>
  <si>
    <t>周期選択用</t>
  </si>
  <si>
    <t>合計点</t>
  </si>
  <si>
    <t>（小計＝合計点÷カウント数）</t>
  </si>
  <si>
    <t>（その他項目は１項目１ポイントを加算）</t>
  </si>
  <si>
    <t>現在÷努力</t>
  </si>
  <si>
    <t>努力</t>
  </si>
  <si>
    <t>A1</t>
  </si>
  <si>
    <r>
      <t>ｋW</t>
    </r>
    <r>
      <rPr>
        <sz val="11"/>
        <rFont val="ＭＳ Ｐゴシック"/>
        <family val="3"/>
      </rPr>
      <t>h</t>
    </r>
    <r>
      <rPr>
        <sz val="11"/>
        <rFont val="ＭＳ Ｐゴシック"/>
        <family val="3"/>
      </rPr>
      <t>/年です。</t>
    </r>
  </si>
  <si>
    <t>A2</t>
  </si>
  <si>
    <t>ｋWh/年です。</t>
  </si>
  <si>
    <t>A3</t>
  </si>
  <si>
    <t>A4</t>
  </si>
  <si>
    <t>A5</t>
  </si>
  <si>
    <t>A6</t>
  </si>
  <si>
    <r>
      <t>M</t>
    </r>
    <r>
      <rPr>
        <sz val="11"/>
        <rFont val="ＭＳ Ｐゴシック"/>
        <family val="3"/>
      </rPr>
      <t>J</t>
    </r>
    <r>
      <rPr>
        <sz val="11"/>
        <rFont val="ＭＳ Ｐゴシック"/>
        <family val="3"/>
      </rPr>
      <t>/年です。</t>
    </r>
  </si>
  <si>
    <t>A7</t>
  </si>
  <si>
    <t>A8</t>
  </si>
  <si>
    <t>A9</t>
  </si>
  <si>
    <t>A10</t>
  </si>
  <si>
    <t>A11</t>
  </si>
  <si>
    <r>
      <t>A1</t>
    </r>
    <r>
      <rPr>
        <sz val="11"/>
        <rFont val="ＭＳ Ｐゴシック"/>
        <family val="3"/>
      </rPr>
      <t>2</t>
    </r>
  </si>
  <si>
    <r>
      <t>A1</t>
    </r>
    <r>
      <rPr>
        <sz val="11"/>
        <rFont val="ＭＳ Ｐゴシック"/>
        <family val="3"/>
      </rPr>
      <t>3</t>
    </r>
  </si>
  <si>
    <r>
      <t>A1</t>
    </r>
    <r>
      <rPr>
        <sz val="11"/>
        <rFont val="ＭＳ Ｐゴシック"/>
        <family val="3"/>
      </rPr>
      <t>4</t>
    </r>
  </si>
  <si>
    <r>
      <t>A1</t>
    </r>
    <r>
      <rPr>
        <sz val="11"/>
        <rFont val="ＭＳ Ｐゴシック"/>
        <family val="3"/>
      </rPr>
      <t>5</t>
    </r>
  </si>
  <si>
    <r>
      <t>A1</t>
    </r>
    <r>
      <rPr>
        <sz val="11"/>
        <rFont val="ＭＳ Ｐゴシック"/>
        <family val="3"/>
      </rPr>
      <t>6</t>
    </r>
  </si>
  <si>
    <r>
      <t>A</t>
    </r>
    <r>
      <rPr>
        <sz val="11"/>
        <rFont val="ＭＳ Ｐゴシック"/>
        <family val="3"/>
      </rPr>
      <t>17</t>
    </r>
  </si>
  <si>
    <r>
      <t>A</t>
    </r>
    <r>
      <rPr>
        <sz val="11"/>
        <rFont val="ＭＳ Ｐゴシック"/>
        <family val="3"/>
      </rPr>
      <t>18</t>
    </r>
  </si>
  <si>
    <r>
      <t>・現在のあなたの施設の省エネ可能性度をエネルギー量とCO</t>
    </r>
    <r>
      <rPr>
        <vertAlign val="subscript"/>
        <sz val="11"/>
        <rFont val="ＭＳ Ｐゴシック"/>
        <family val="3"/>
      </rPr>
      <t>2</t>
    </r>
    <r>
      <rPr>
        <sz val="11"/>
        <rFont val="ＭＳ Ｐゴシック"/>
        <family val="3"/>
      </rPr>
      <t>排出量</t>
    </r>
    <r>
      <rPr>
        <sz val="11"/>
        <color indexed="10"/>
        <rFont val="ＭＳ Ｐゴシック"/>
        <family val="3"/>
      </rPr>
      <t>・概算金額</t>
    </r>
    <r>
      <rPr>
        <sz val="11"/>
        <rFont val="ＭＳ Ｐゴシック"/>
        <family val="3"/>
      </rPr>
      <t>で示します。</t>
    </r>
  </si>
  <si>
    <r>
      <t>kg-CO</t>
    </r>
    <r>
      <rPr>
        <vertAlign val="subscript"/>
        <sz val="11"/>
        <rFont val="ＭＳ Ｐゴシック"/>
        <family val="3"/>
      </rPr>
      <t>2</t>
    </r>
    <r>
      <rPr>
        <sz val="11"/>
        <rFont val="ＭＳ Ｐゴシック"/>
        <family val="3"/>
      </rPr>
      <t>/年</t>
    </r>
  </si>
  <si>
    <t>ランク</t>
  </si>
  <si>
    <t>　</t>
  </si>
  <si>
    <r>
      <t>ｋW</t>
    </r>
    <r>
      <rPr>
        <sz val="11"/>
        <rFont val="ＭＳ Ｐゴシック"/>
        <family val="3"/>
      </rPr>
      <t>h/年です。</t>
    </r>
  </si>
  <si>
    <t>ｋWh/年です。</t>
  </si>
  <si>
    <t>A3</t>
  </si>
  <si>
    <t>A4</t>
  </si>
  <si>
    <t>A5</t>
  </si>
  <si>
    <r>
      <t>M</t>
    </r>
    <r>
      <rPr>
        <sz val="11"/>
        <rFont val="ＭＳ Ｐゴシック"/>
        <family val="3"/>
      </rPr>
      <t>J/年です。</t>
    </r>
  </si>
  <si>
    <t>A7</t>
  </si>
  <si>
    <t>A8</t>
  </si>
  <si>
    <t>A9</t>
  </si>
  <si>
    <t>A10</t>
  </si>
  <si>
    <t>A11</t>
  </si>
  <si>
    <r>
      <t>A1</t>
    </r>
    <r>
      <rPr>
        <sz val="11"/>
        <rFont val="ＭＳ Ｐゴシック"/>
        <family val="3"/>
      </rPr>
      <t>2</t>
    </r>
  </si>
  <si>
    <r>
      <t>A1</t>
    </r>
    <r>
      <rPr>
        <sz val="11"/>
        <rFont val="ＭＳ Ｐゴシック"/>
        <family val="3"/>
      </rPr>
      <t>3</t>
    </r>
  </si>
  <si>
    <r>
      <t>A1</t>
    </r>
    <r>
      <rPr>
        <sz val="11"/>
        <rFont val="ＭＳ Ｐゴシック"/>
        <family val="3"/>
      </rPr>
      <t>4</t>
    </r>
  </si>
  <si>
    <r>
      <t>A1</t>
    </r>
    <r>
      <rPr>
        <sz val="11"/>
        <rFont val="ＭＳ Ｐゴシック"/>
        <family val="3"/>
      </rPr>
      <t>5</t>
    </r>
  </si>
  <si>
    <r>
      <t>A1</t>
    </r>
    <r>
      <rPr>
        <sz val="11"/>
        <rFont val="ＭＳ Ｐゴシック"/>
        <family val="3"/>
      </rPr>
      <t>6</t>
    </r>
  </si>
  <si>
    <r>
      <t>A</t>
    </r>
    <r>
      <rPr>
        <sz val="11"/>
        <rFont val="ＭＳ Ｐゴシック"/>
        <family val="3"/>
      </rPr>
      <t>17</t>
    </r>
  </si>
  <si>
    <r>
      <t>A</t>
    </r>
    <r>
      <rPr>
        <sz val="11"/>
        <rFont val="ＭＳ Ｐゴシック"/>
        <family val="3"/>
      </rPr>
      <t>18</t>
    </r>
  </si>
  <si>
    <r>
      <t>・現在のあなたの施設の省エネ可能性度をエネルギー量とCO</t>
    </r>
    <r>
      <rPr>
        <vertAlign val="subscript"/>
        <sz val="11"/>
        <rFont val="ＭＳ Ｐゴシック"/>
        <family val="3"/>
      </rPr>
      <t>2</t>
    </r>
    <r>
      <rPr>
        <sz val="11"/>
        <rFont val="ＭＳ Ｐゴシック"/>
        <family val="3"/>
      </rPr>
      <t>排出量・概算金額で示します。</t>
    </r>
  </si>
  <si>
    <r>
      <t>円／年</t>
    </r>
    <r>
      <rPr>
        <vertAlign val="superscript"/>
        <sz val="11"/>
        <rFont val="ＭＳ Ｐゴシック"/>
        <family val="3"/>
      </rPr>
      <t>**)</t>
    </r>
  </si>
  <si>
    <t>ランク</t>
  </si>
  <si>
    <t>　</t>
  </si>
  <si>
    <t>　[1]～[5]の質問は管理官署・入居官署の方、共にご回答下さい。</t>
  </si>
  <si>
    <t>０１２３－４５－６７８９</t>
  </si>
  <si>
    <t>E-mailアドレス</t>
  </si>
  <si>
    <t>kokudo@mlit.go.jp</t>
  </si>
  <si>
    <t>カウント</t>
  </si>
  <si>
    <t>カウント</t>
  </si>
  <si>
    <t>ON/OFF</t>
  </si>
  <si>
    <t>ON/OFF</t>
  </si>
  <si>
    <t>1.</t>
  </si>
  <si>
    <t>昼休みも接客があるため消灯は実施できないから</t>
  </si>
  <si>
    <t>照明の点滅区分が窓際の消灯に不都合だから</t>
  </si>
  <si>
    <t>窓面方位が不適切(西面など)またはブラインド使用のため外光のみでは十分な照度が得られないから</t>
  </si>
  <si>
    <t>使用していない部屋の空調を消していないか、実施率が100%以外の場合、理由として下記のどれが最も近いですか？</t>
  </si>
  <si>
    <t>（ブラインド・デスクライト・パソコン）</t>
  </si>
  <si>
    <t>冷房時にブラインドを閉めていないか、実施率が100%以外の場合、理由として下記のどれが最も近いですか？</t>
  </si>
  <si>
    <t>退庁時にブラインドを閉めていないか、実施率が100%以外の場合、理由として下記のどれが最も近いですか？</t>
  </si>
  <si>
    <r>
      <t>1.はい　2.いいえ</t>
    </r>
    <r>
      <rPr>
        <sz val="11"/>
        <rFont val="ＭＳ Ｐゴシック"/>
        <family val="3"/>
      </rPr>
      <t>(出来ない)</t>
    </r>
  </si>
  <si>
    <t>デスクライトがないから</t>
  </si>
  <si>
    <t>1.はい　2.いいえ</t>
  </si>
  <si>
    <t>1.はい　2.いいえ</t>
  </si>
  <si>
    <r>
      <t>2</t>
    </r>
    <r>
      <rPr>
        <sz val="11"/>
        <rFont val="ＭＳ Ｐゴシック"/>
        <family val="3"/>
      </rPr>
      <t>.</t>
    </r>
  </si>
  <si>
    <t>　</t>
  </si>
  <si>
    <t>ポイント</t>
  </si>
  <si>
    <t>質問項目</t>
  </si>
  <si>
    <t>1.はい　2.いいえ</t>
  </si>
  <si>
    <t>ポイント</t>
  </si>
  <si>
    <t>Ｑ２４．夏期と冬期の冷暖房切替は行っていますか？</t>
  </si>
  <si>
    <r>
      <t>1.はい　2.いいえ　</t>
    </r>
    <r>
      <rPr>
        <sz val="11"/>
        <rFont val="ＭＳ Ｐゴシック"/>
        <family val="3"/>
      </rPr>
      <t>3.分からない</t>
    </r>
  </si>
  <si>
    <t>ポイント</t>
  </si>
  <si>
    <t>ポイント</t>
  </si>
  <si>
    <t>ポイント</t>
  </si>
  <si>
    <t>ポイント</t>
  </si>
  <si>
    <t>ポイント</t>
  </si>
  <si>
    <t>ポイント</t>
  </si>
  <si>
    <t>職員に呼びかけていない場合、理由として下記のどれが最も近いですか？</t>
  </si>
  <si>
    <t>％（＝現在÷努力）</t>
  </si>
  <si>
    <t>選択肢</t>
  </si>
  <si>
    <t>一次エネルギー換算（10.3MJ/kWh)</t>
  </si>
  <si>
    <t>面積按分によるエリア全体の点数</t>
  </si>
  <si>
    <t>CEC/L　制御の方法に応じた係数</t>
  </si>
  <si>
    <t>制御の方法</t>
  </si>
  <si>
    <t>カード、センサー等による在室認知制御</t>
  </si>
  <si>
    <t>明るさ感知による自動点滅制御</t>
  </si>
  <si>
    <t>適正照度制御</t>
  </si>
  <si>
    <t>タイムスケジュール制御</t>
  </si>
  <si>
    <t>昼光利用照明制御</t>
  </si>
  <si>
    <t>ゾーニング制御</t>
  </si>
  <si>
    <t>局所制御</t>
  </si>
  <si>
    <t>係数</t>
  </si>
  <si>
    <t>共用部（廊下、WC等）</t>
  </si>
  <si>
    <t>コア（階段、機械室等）</t>
  </si>
  <si>
    <t>CEC/Lの係数を元に省エネ効果を算出</t>
  </si>
  <si>
    <t>年間照明電力量に省エネによる削減率を乗じ、省エネルギー効果量（年間電力消費削減量）を算出する。</t>
  </si>
  <si>
    <t>該当部分の面積の算定はエリア面積に該当部分の標準的な面積割合を乗じ算出する。</t>
  </si>
  <si>
    <t>該当部分</t>
  </si>
  <si>
    <t>事務室</t>
  </si>
  <si>
    <t>廊下</t>
  </si>
  <si>
    <t>倉庫</t>
  </si>
  <si>
    <t>面積割合</t>
  </si>
  <si>
    <t>省エネルギー効果算出の考え方</t>
  </si>
  <si>
    <t>Ｑ４、Ｑ５</t>
  </si>
  <si>
    <t>Ｑ２</t>
  </si>
  <si>
    <t>Ｑ１、Ｑ２</t>
  </si>
  <si>
    <t>Ｑ３</t>
  </si>
  <si>
    <t>Ｑ４</t>
  </si>
  <si>
    <t>Ｑ５</t>
  </si>
  <si>
    <t>単位面積あたり照明電力</t>
  </si>
  <si>
    <t>該当部分の面積に単位面積あたりの照明電力消費及び標準的な年間点灯時間を乗じ、年間照明電力消費量を算出する。</t>
  </si>
  <si>
    <t>ｈ/年</t>
  </si>
  <si>
    <t>備考</t>
  </si>
  <si>
    <t>日/年×</t>
  </si>
  <si>
    <t>ｈ/日</t>
  </si>
  <si>
    <t>削減率の考え方</t>
  </si>
  <si>
    <t>昼休み1時間に50%消灯するものとする</t>
  </si>
  <si>
    <t>廊下に設置の照明の50%を間引きするものとする</t>
  </si>
  <si>
    <t>→削減率</t>
  </si>
  <si>
    <t>（参考　200日/年×1h/日×50%＝2,000h/年×0.05　→削減率　0.05）</t>
  </si>
  <si>
    <t>Ｗ/㎡</t>
  </si>
  <si>
    <t>Ｗ/㎡</t>
  </si>
  <si>
    <t>Ｗ/㎡</t>
  </si>
  <si>
    <t>トイレ</t>
  </si>
  <si>
    <t>Ｗ/㎡</t>
  </si>
  <si>
    <t>-</t>
  </si>
  <si>
    <t>＝</t>
  </si>
  <si>
    <t>　→　削減率</t>
  </si>
  <si>
    <t>N</t>
  </si>
  <si>
    <t>エリアの面積に単位面積あたりの冷熱並びに温熱定格一次エネルギー消費及び標準的な年間相当運転時間を乗じ、</t>
  </si>
  <si>
    <t>年間熱源一次エネルギー消費量を算出する。</t>
  </si>
  <si>
    <t>年間熱源一次エネルギー消費量に省エネによる削減率を乗じ、省エネルギー効果量（年間一次エネルギー消費削減量）を</t>
  </si>
  <si>
    <t>算出する。</t>
  </si>
  <si>
    <t>冷熱</t>
  </si>
  <si>
    <t>平均</t>
  </si>
  <si>
    <t>単位面積あたり</t>
  </si>
  <si>
    <t>定格一次エネルギー消費</t>
  </si>
  <si>
    <t>年間相当運転時間</t>
  </si>
  <si>
    <t>kcal/h/㎡</t>
  </si>
  <si>
    <t>IBEC</t>
  </si>
  <si>
    <t>空衛学会</t>
  </si>
  <si>
    <t>ガス協会</t>
  </si>
  <si>
    <t>NIRA</t>
  </si>
  <si>
    <t>・計算モデル</t>
  </si>
  <si>
    <t>窓周り断面</t>
  </si>
  <si>
    <t>モデル平面</t>
  </si>
  <si>
    <t>基本条件</t>
  </si>
  <si>
    <t>Ｑ６</t>
  </si>
  <si>
    <t>冷房設定温度　26℃</t>
  </si>
  <si>
    <t>対策時条件</t>
  </si>
  <si>
    <t>冷房設定温度　28℃</t>
  </si>
  <si>
    <t>Ｑ７</t>
  </si>
  <si>
    <t>暖房設定温度　22℃</t>
  </si>
  <si>
    <t>暖房設定温度　20℃</t>
  </si>
  <si>
    <t>Ｑ９</t>
  </si>
  <si>
    <t>Ｑ１０</t>
  </si>
  <si>
    <t>Ｑ１１</t>
  </si>
  <si>
    <t>隙間風あり</t>
  </si>
  <si>
    <t>隙間風なし</t>
  </si>
  <si>
    <t>ブラインドなし</t>
  </si>
  <si>
    <t>ブラインドあり</t>
  </si>
  <si>
    <t>日射量により開閉</t>
  </si>
  <si>
    <t>常に閉とし、前項との差を削減量とする</t>
  </si>
  <si>
    <t>最大</t>
  </si>
  <si>
    <t>1月</t>
  </si>
  <si>
    <t>2月</t>
  </si>
  <si>
    <t>3月</t>
  </si>
  <si>
    <t>4月</t>
  </si>
  <si>
    <t>5月</t>
  </si>
  <si>
    <t>6月</t>
  </si>
  <si>
    <t>7月</t>
  </si>
  <si>
    <t>8月</t>
  </si>
  <si>
    <t>9月</t>
  </si>
  <si>
    <t>10月</t>
  </si>
  <si>
    <t>11月</t>
  </si>
  <si>
    <t>12月</t>
  </si>
  <si>
    <t>設定温度</t>
  </si>
  <si>
    <t>隙間風</t>
  </si>
  <si>
    <t>ブラインド</t>
  </si>
  <si>
    <t>①</t>
  </si>
  <si>
    <t>冷房</t>
  </si>
  <si>
    <t>暖房</t>
  </si>
  <si>
    <t>②</t>
  </si>
  <si>
    <t>③</t>
  </si>
  <si>
    <t>①</t>
  </si>
  <si>
    <t>②</t>
  </si>
  <si>
    <t>③</t>
  </si>
  <si>
    <t>ブラインド　常時　開</t>
  </si>
  <si>
    <t>ブラインド　日射量300W/㎡以上で　閉</t>
  </si>
  <si>
    <t>ブラインド　常時　閉</t>
  </si>
  <si>
    <t>モデル計算結果</t>
  </si>
  <si>
    <t>(W)</t>
  </si>
  <si>
    <t>モデルを用いたシミュレーション他により削減率を算出する。</t>
  </si>
  <si>
    <t>削減量</t>
  </si>
  <si>
    <t>Ⅰ</t>
  </si>
  <si>
    <t>Ⅱ</t>
  </si>
  <si>
    <t>ⅰ</t>
  </si>
  <si>
    <t>ⅱ</t>
  </si>
  <si>
    <t>Ⅰ</t>
  </si>
  <si>
    <t>Ⅱ</t>
  </si>
  <si>
    <t>隙間風　あり</t>
  </si>
  <si>
    <t>隙間風　なし</t>
  </si>
  <si>
    <t>削減量÷基本条件（26℃設定）での冷房負荷（年間）</t>
  </si>
  <si>
    <t>削減率’</t>
  </si>
  <si>
    <r>
      <t>係数</t>
    </r>
    <r>
      <rPr>
        <vertAlign val="superscript"/>
        <sz val="9"/>
        <rFont val="ＭＳ Ｐゴシック"/>
        <family val="3"/>
      </rPr>
      <t>※</t>
    </r>
  </si>
  <si>
    <t>※実際は計算上程の効果が得られないと予想されるために係数を乗じ、修正削減率を算出する。</t>
  </si>
  <si>
    <t>削減量÷基本条件（22℃設定）での暖房負荷（年間）</t>
  </si>
  <si>
    <t>暖房負荷（年間）</t>
  </si>
  <si>
    <t>　削減量</t>
  </si>
  <si>
    <t>　削減率</t>
  </si>
  <si>
    <t>・モデル計算による削減率</t>
  </si>
  <si>
    <t>・外気負荷低減率からの削減率試算</t>
  </si>
  <si>
    <t>設定温度を2℃上げたときのエンタルピー差は約2.4J/kg</t>
  </si>
  <si>
    <t>現時点における貴施設の省エネ型のOA機器の採用による省エネ効果は、</t>
  </si>
  <si>
    <t>[3]利用者のデスクライト・パソコンによる省エネルギー</t>
  </si>
  <si>
    <t>[４]省エネ機器による省エネルギー</t>
  </si>
  <si>
    <t>[5]啓発活動による省エネルギー</t>
  </si>
  <si>
    <t>現時点における貴施設の最寄階への階段利用による省エネ効果は、</t>
  </si>
  <si>
    <t>夏期の外気を平均28℃、65％としたとき、室内設定26℃、50%とのエンタルピー差は約15J/kg</t>
  </si>
  <si>
    <t>設定温度を2℃下げたときのエンタルピー差は約2.4J/kg</t>
  </si>
  <si>
    <t>冷房時の外気負荷の割合を40％とすると、温度設定変更による冷房負荷削減率は</t>
  </si>
  <si>
    <t>暖房時の外気負荷の割合を70％とすると、温度設定変更による暖房負荷削減率は</t>
  </si>
  <si>
    <t>冬期の外気を平均10℃、50％としたとき、室内設定22℃、40%とのエンタルピー差は約19J/kg</t>
  </si>
  <si>
    <r>
      <t>●一般的な数値（1℃の設定緩和で10%程度の省エネ（省エネセンター</t>
    </r>
    <r>
      <rPr>
        <vertAlign val="superscript"/>
        <sz val="9"/>
        <rFont val="ＭＳ Ｐゴシック"/>
        <family val="3"/>
      </rPr>
      <t>※</t>
    </r>
    <r>
      <rPr>
        <sz val="9"/>
        <rFont val="ＭＳ Ｐゴシック"/>
        <family val="3"/>
      </rPr>
      <t>など））、上記を勘案し</t>
    </r>
  </si>
  <si>
    <t>あなたの施設のチェックリスト[結果編]は、［質問編］にご回答いただくと自動的に記入されますので記入の必要はありません（紙ベースの場合は、当方で対応しますので、記入は結構です）。最後に「現在のあなたの施設の省エネ運用度」が（１００点満点中）点数で、「省エネ可能性度」が値で、「増エネ危険度」がランクで示されます。なお、それぞれの評価の位置づけは以下のとおりとなっています。</t>
  </si>
  <si>
    <t>□あなたの省エネ運用度：現時点での省エネルギーに対する努力のレベルを点数化して現したものです。努力の成果を実感していただくことを目的としています。（試行結果を基に標準値を併記の予定）</t>
  </si>
  <si>
    <t>□あなたの施設の増エネ危険度：省エネのために知っておいていただきたい施設情報の習熟度を表現したものです。省エネルギー対策のため国土交通省が支援・指導できる代表的な項目でもあります。</t>
  </si>
  <si>
    <t>[0]建物諸元記入欄</t>
  </si>
  <si>
    <t>来庁者エリアがある場合には、質問により来庁者エリアと職員エリアに分けてご回答下さい。</t>
  </si>
  <si>
    <t>（「2.いいえ(出来ない）」にご回答の場合と「実施率が100％未満の場合」にはその理由もご回答お願いします。）</t>
  </si>
  <si>
    <t>冷房時の削減率は</t>
  </si>
  <si>
    <t>Ｑ１４．省エネ型のOA機器を選定していますか？</t>
  </si>
  <si>
    <t>その他（理由等）</t>
  </si>
  <si>
    <t>**)金額換算は、標準庁舎のエネルギー構成から１MJ＝1.3円で算出しています。</t>
  </si>
  <si>
    <r>
      <t>円／年</t>
    </r>
    <r>
      <rPr>
        <vertAlign val="superscript"/>
        <sz val="11"/>
        <color indexed="10"/>
        <rFont val="ＭＳ Ｐゴシック"/>
        <family val="3"/>
      </rPr>
      <t>**)</t>
    </r>
  </si>
  <si>
    <t>省エネ型のOA機器を選定していないか、実施率が100%以外の場合、理由として下記のどれが最も近いですか？</t>
  </si>
  <si>
    <t>[7]設備システム</t>
  </si>
  <si>
    <t>　[6],[7]]の質問は管理官署の方のみがご回答下さい。</t>
  </si>
  <si>
    <t>暖房時の削減率は</t>
  </si>
  <si>
    <t>使用していない部屋の面積割合及び使用していない期間の割合を乗じたものとする。</t>
  </si>
  <si>
    <t>面積の割合</t>
  </si>
  <si>
    <t>期間の割合</t>
  </si>
  <si>
    <t>削減率(参考）</t>
  </si>
  <si>
    <t>Ⅰ</t>
  </si>
  <si>
    <t>Ⅱ</t>
  </si>
  <si>
    <t>暖房負荷（年間）</t>
  </si>
  <si>
    <t>削減量÷基本条件（隙間あり）での暖房負荷（年間）</t>
  </si>
  <si>
    <t>●上記より</t>
  </si>
  <si>
    <t>削減率は</t>
  </si>
  <si>
    <t>冷房負荷（年間）</t>
  </si>
  <si>
    <t>①</t>
  </si>
  <si>
    <t>ⅰ</t>
  </si>
  <si>
    <t>ⅱ</t>
  </si>
  <si>
    <t>②</t>
  </si>
  <si>
    <t>③</t>
  </si>
  <si>
    <t>kJ/kg÷</t>
  </si>
  <si>
    <t>kJ/kg×</t>
  </si>
  <si>
    <t>＝</t>
  </si>
  <si>
    <t>→</t>
  </si>
  <si>
    <t>とした</t>
  </si>
  <si>
    <t>※</t>
  </si>
  <si>
    <t>http://www.eccj.or.jp/b_tuning/2-1-7/index.html</t>
  </si>
  <si>
    <t>kJ/kg÷</t>
  </si>
  <si>
    <t>kJ/kg×</t>
  </si>
  <si>
    <t>＝</t>
  </si>
  <si>
    <t>→</t>
  </si>
  <si>
    <t>とした</t>
  </si>
  <si>
    <t>Ⅰ</t>
  </si>
  <si>
    <t>Ⅱ</t>
  </si>
  <si>
    <t>→</t>
  </si>
  <si>
    <t>とした</t>
  </si>
  <si>
    <t>夏期についても同程度の削減があるものと想定し、年間エネルギー消費（冷房、暖房）に</t>
  </si>
  <si>
    <t>この削減率を乗じ、省エネ効果量を算出する。</t>
  </si>
  <si>
    <t>モデル計算は暖房時の隙間風計算による算出であり、窓又は扉の開閉による削減については、</t>
  </si>
  <si>
    <t>冷房期間における（基本条件（26℃設定）での冷房負荷－対策時条件（28℃設定）での冷房負荷）</t>
  </si>
  <si>
    <t>暖房期間における（基本条件（22℃設定）での暖房負荷－対策時条件（20℃設定）での暖房負荷）</t>
  </si>
  <si>
    <t>暖房期間における（基本条件(隙間あり）での暖房負荷－対策時条件（隙間なし）での暖房負荷）</t>
  </si>
  <si>
    <t>冷房期間における（基本条件（ブラインドなし）での冷房負荷－対策時条件（ブラインドあり）での冷房負荷）</t>
  </si>
  <si>
    <t>削減量÷基本条件（ブラインドなし）での冷房負荷（年間）</t>
  </si>
  <si>
    <t>延べ面積</t>
  </si>
  <si>
    <t>冷房期間における（基本条件（ブラインドなし）での冷房負荷－対策時条件（ブラインド常時閉）での冷房負荷）</t>
  </si>
  <si>
    <t>－Ｑ９の削減量</t>
  </si>
  <si>
    <t>設定</t>
  </si>
  <si>
    <t>kcal/h/㎡</t>
  </si>
  <si>
    <t>kJ/h/㎡</t>
  </si>
  <si>
    <t>●退庁時のブラインド閉の効果は上記の５０％（午前中分のみ）として、</t>
  </si>
  <si>
    <t>CEC/EVに基づきエレベーターの年間消費電力量を算出する。</t>
  </si>
  <si>
    <t>エレベーターの年間消費電力量に省エネによる削減率を乗じ、省エネルギー効果量（年間消費電力削減量）を算出する。</t>
  </si>
  <si>
    <t>エレベーター消費電力量＝積載荷重×定格速度×制御方式による係数×年間運転時間</t>
  </si>
  <si>
    <t>ここで、積載荷重×定格速度＝5分間輸送能力（人）÷5（分）×70（kg/人）×標準階高（＝4（ｍ））×階数とした。</t>
  </si>
  <si>
    <t>制御方式係数 1/</t>
  </si>
  <si>
    <t>2階建て以下</t>
  </si>
  <si>
    <t>3,4階建て又は4,000㎡以下</t>
  </si>
  <si>
    <t>建物規模</t>
  </si>
  <si>
    <t>上記以外</t>
  </si>
  <si>
    <t>EVなし</t>
  </si>
  <si>
    <t>5分間輸送能力＝建物規模による係数×エレベーター利用人員（在館人員の８割とする）とした。</t>
  </si>
  <si>
    <t>また、制御方式による係数は、CEC/EVの数値より1/40とした。</t>
  </si>
  <si>
    <t>とした。</t>
  </si>
  <si>
    <t>省エネルギー効果量（年間電力消費削減量）を算出する。</t>
  </si>
  <si>
    <t>照明電力</t>
  </si>
  <si>
    <t>稼動日数</t>
  </si>
  <si>
    <t>消灯可能率</t>
  </si>
  <si>
    <t>パソコン電力</t>
  </si>
  <si>
    <t>点灯率</t>
  </si>
  <si>
    <t>起動率</t>
  </si>
  <si>
    <t>夜間10時間に50%起動しているパソコンのうち50％は使用していないものとする。</t>
  </si>
  <si>
    <t>○○省庁舎</t>
  </si>
  <si>
    <t>東京都○×区△□１－１－１</t>
  </si>
  <si>
    <t>○○省△△局□□課</t>
  </si>
  <si>
    <t>国土　太郎</t>
  </si>
  <si>
    <t>昼休み1時間に50%で点灯しているデスクライトのうち50%消灯できるものとする。</t>
  </si>
  <si>
    <t>　（隙間風計算によるものであり、扉開閉による効果はより大きいと考えられるため係数は1.0のままとした。）</t>
  </si>
  <si>
    <t>※ただし、インバータ調光器具以外では、照度を保つ機能が無いため、省エネ効果は得られず、</t>
  </si>
  <si>
    <t>※ただし、インバータ等による風量制御を行っている空調機以外では、風量を保つ機能が無いため、</t>
  </si>
  <si>
    <t>　省エネ効果は得られず、風量低下防止の効果となる。</t>
  </si>
  <si>
    <t>　照度低下防止の効果となる。</t>
  </si>
  <si>
    <t>[1]照明</t>
  </si>
  <si>
    <t>[2]空調</t>
  </si>
  <si>
    <t>官署名</t>
  </si>
  <si>
    <t>Ｑ１８．最寄階への移動は、階段を使うように呼びかけていますか？</t>
  </si>
  <si>
    <t>Ｑ１９．照明器具の交換周期を決めていますか？</t>
  </si>
  <si>
    <t>Ｑ２０．照明器具の清掃周期を決めていますか？</t>
  </si>
  <si>
    <t>Ｑ２１．空調機のフィルター清掃（交換）周期を決めていますか？</t>
  </si>
  <si>
    <t>Ｑ２３．冷凍機や冷却塔まわりに設置されている温度計の表示は目視出来る位置にありますか？</t>
  </si>
  <si>
    <t>Ｑ２２．熱源機器（冷凍機・ボイラー）の定期点検は行っていますか？</t>
  </si>
  <si>
    <t>熱源機器の定期点検を行っていない理由として下記のどれが最も近いですか？</t>
  </si>
  <si>
    <t>Ｑ２５．あなたの施設には中央熱源（全館冷暖房機器）はありますか？</t>
  </si>
  <si>
    <t>Ｑ２６．あなたの施設には個別空調（パッケージ空調）はありますか？</t>
  </si>
  <si>
    <t>Q２７．あなたの施設には全熱交換器（空調換気扇）はありますか？</t>
  </si>
  <si>
    <t>ヶ月)</t>
  </si>
  <si>
    <t>Q25-1～4
選択肢用</t>
  </si>
  <si>
    <t>Q26-1～2
選択肢用</t>
  </si>
  <si>
    <t>1.はい　2.いいえ</t>
  </si>
  <si>
    <t>平均能力85%→90%(</t>
  </si>
  <si>
    <t>理解度</t>
  </si>
  <si>
    <t>Q24 冷暖切替</t>
  </si>
  <si>
    <t>Q25 中央熱源</t>
  </si>
  <si>
    <t>＝（現在の省エネ度（保全）÷達成できる省エネ度）%</t>
  </si>
  <si>
    <t>＝(運用・保全合計ポイント÷合計カウント）×理解度</t>
  </si>
  <si>
    <t>[1]照明による省エネルギー</t>
  </si>
  <si>
    <t>・質問によるご回答結果からあなたの施設の「省エネ運用度」と「省エネ可能性度」を算出します。</t>
  </si>
  <si>
    <t>EV,保全による改善を含まない省エネ運用度</t>
  </si>
  <si>
    <t>□あなたの施設の省エネ運用度</t>
  </si>
  <si>
    <t>・現在のあなたの施設の省エネ運用度を、100点満点として各項目の点数と総合点を示します。</t>
  </si>
  <si>
    <t>回答（全）：</t>
  </si>
  <si>
    <t>回答（細）：</t>
  </si>
  <si>
    <t>細目回答数（運用度に関わる）</t>
  </si>
  <si>
    <t>回答数（理解とに関わる）</t>
  </si>
  <si>
    <t>点数：</t>
  </si>
  <si>
    <t>理解：</t>
  </si>
  <si>
    <t>「はい・いいえ」：１、「わからない」：0</t>
  </si>
  <si>
    <t>「はい」：１、「いいえ・わからない」：0</t>
  </si>
  <si>
    <t>設備システム</t>
  </si>
  <si>
    <t>増エネ危険度レベル</t>
  </si>
  <si>
    <t>0-20%</t>
  </si>
  <si>
    <t>40-60%</t>
  </si>
  <si>
    <t>20-40%</t>
  </si>
  <si>
    <t>60-80%</t>
  </si>
  <si>
    <t>80-100%</t>
  </si>
  <si>
    <t>運用・保全度</t>
  </si>
  <si>
    <t>ランク</t>
  </si>
  <si>
    <t>A</t>
  </si>
  <si>
    <t>E</t>
  </si>
  <si>
    <t>D</t>
  </si>
  <si>
    <t>C</t>
  </si>
  <si>
    <t>B</t>
  </si>
  <si>
    <t>増エネ危険度ランク</t>
  </si>
  <si>
    <t>電力：</t>
  </si>
  <si>
    <t>として</t>
  </si>
  <si>
    <t>kg-CO2/年</t>
  </si>
  <si>
    <r>
      <t>kg-CO</t>
    </r>
    <r>
      <rPr>
        <vertAlign val="subscript"/>
        <sz val="11"/>
        <rFont val="ＭＳ Ｐゴシック"/>
        <family val="3"/>
      </rPr>
      <t>2/</t>
    </r>
    <r>
      <rPr>
        <sz val="11"/>
        <rFont val="ＭＳ Ｐゴシック"/>
        <family val="3"/>
      </rPr>
      <t>MJ</t>
    </r>
  </si>
  <si>
    <t>入居者の協力を得て100％の実施率となった場合のさらなる省エネﾙギー量は、</t>
  </si>
  <si>
    <t>*)一次エネルギー換算での値を示します。電力換算では、</t>
  </si>
  <si>
    <t>電力換算</t>
  </si>
  <si>
    <t>ｋWh/年</t>
  </si>
  <si>
    <t>□あなたの施設の省エネ可能性度</t>
  </si>
  <si>
    <t>□あなたの施設の増エネ危険度</t>
  </si>
  <si>
    <t>※回答注記</t>
  </si>
  <si>
    <t>・数値は各種文献による一般値を参考に試算をしたものです。</t>
  </si>
  <si>
    <t>[2]空調による省エネルギー</t>
  </si>
  <si>
    <t>　Q25-1 冷水温度</t>
  </si>
  <si>
    <t>　Q25-2 温水温度</t>
  </si>
  <si>
    <t>　Q25-3 温度計</t>
  </si>
  <si>
    <t>　Q25-4 スケジュール</t>
  </si>
  <si>
    <t>Q26 パッケージ</t>
  </si>
  <si>
    <t>　Q26-1 ユーザーフリー</t>
  </si>
  <si>
    <t>　Q26-2 中央と同時か</t>
  </si>
  <si>
    <t>Q27 全熱交</t>
  </si>
  <si>
    <t>　Q27-1 モード</t>
  </si>
  <si>
    <t>　Q27-2 全熱交換気モード</t>
  </si>
  <si>
    <t>Q28 EVMR、EMR温度設定</t>
  </si>
  <si>
    <t>Q29 吹出口</t>
  </si>
  <si>
    <t>Q30 サーモ</t>
  </si>
  <si>
    <t>Ｑ31 喫煙コーナー</t>
  </si>
  <si>
    <t>Ｑ32 間仕切対応</t>
  </si>
  <si>
    <t>Ｑ31 相談</t>
  </si>
  <si>
    <t>理解</t>
  </si>
  <si>
    <t>回答（全）</t>
  </si>
  <si>
    <t>回答（細）</t>
  </si>
  <si>
    <t>＝（点数÷細目回答数)%</t>
  </si>
  <si>
    <t>運用度</t>
  </si>
  <si>
    <t>保全度</t>
  </si>
  <si>
    <t>＝(理解÷全回答数)%</t>
  </si>
  <si>
    <t>ポイント(%)</t>
  </si>
  <si>
    <t>Q27-1
選択肢用</t>
  </si>
  <si>
    <t>Q27-2
選択肢用</t>
  </si>
  <si>
    <t>Ｑ２８．エレベータ機械室と電気室の換気又は冷房の温度設定は３０～３５℃になっていますか？</t>
  </si>
  <si>
    <t>Ｑ２９．空調吹出口や吸込口の周囲に障害となるような物を置かないことを呼びかけ、実施していますか？</t>
  </si>
  <si>
    <t>Ｑ３０．空調用サーモセンサーの近くにコピー機等の発熱機器はありませんか？</t>
  </si>
  <si>
    <t>Ｑ３１．喫煙コーナーは仕切られた部屋にありますか？</t>
  </si>
  <si>
    <t xml:space="preserve"> </t>
  </si>
  <si>
    <t>■省エネ可能性量の試算根拠</t>
  </si>
  <si>
    <t>参考</t>
  </si>
  <si>
    <t>昼休みの消灯を実施していないか、実施率が100%以外の場合、理由として下記のどれが最も近いですか？</t>
  </si>
  <si>
    <t>窓際の消灯を実施していないか、実施率が100%以外の場合、理由として下記のどれが最も近いですか？</t>
  </si>
  <si>
    <t>廊下の間引き点灯を実施していないか、実施率が100%以外の場合、理由として下記のどれが最も近いですか？</t>
  </si>
  <si>
    <t>倉庫などの消灯を実施していないか、実施率が100%以外の場合、理由として下記のどれが最も近いですか？</t>
  </si>
  <si>
    <t>トイレの非使用時の消灯を実施していないか、実施率が100%以外の場合、理由として下記のどれが最も近いですか？</t>
  </si>
  <si>
    <t>冷房の設定温度を28℃に設定していないか、実施率が100%以外の場合、理由として下記のどれが最も近いですか？</t>
  </si>
  <si>
    <t>暖房の設定温度を20℃に設定していないか、実施率が100%以外の場合、理由として下記のどれが最も近いですか？</t>
  </si>
  <si>
    <t>冷暖房時に窓や扉を閉めていないか、実施率が100%以外の場合、理由として下記のどれが最も近いですか？</t>
  </si>
  <si>
    <t>デスクライトの消灯を徹底していないか、実施率が100%以外の場合、理由として下記のどれが最も近いですか？</t>
  </si>
  <si>
    <t>不在時のパソコン電源のOFFを徹底していないか、実施率が100%以外の場合、理由として下記のどれが最も近いですか？</t>
  </si>
  <si>
    <t>ノート型或いは液晶ディスプレイを選定していないか、実施率が100%以外の場合、理由として下記のどれが最も近いですか？</t>
  </si>
  <si>
    <t>非使用時に自動OFF或いは省電力モードへの切替が可能でないか、実施率が100%以外の場合、理由として下記のどれが最も近いですか？</t>
  </si>
  <si>
    <t>Ｑ３２．室の用途や間仕切変更に合わせて設備機器の運転管理も変えていますか？</t>
  </si>
  <si>
    <t>Ｑ３３．省エネルギーを実践しようとするときに、相談できる人材や組織はいますか？</t>
  </si>
  <si>
    <t>冬の晴天時などは特に窓を開けないと暑いから</t>
  </si>
  <si>
    <t>ご回答者</t>
  </si>
  <si>
    <t>１． 記入の方法</t>
  </si>
  <si>
    <t>２． 記入の手順</t>
  </si>
  <si>
    <t>①建物諸元の記入</t>
  </si>
  <si>
    <t>官署面積</t>
  </si>
  <si>
    <t>（注記）</t>
  </si>
  <si>
    <t>省エネ対策</t>
  </si>
  <si>
    <t>　</t>
  </si>
  <si>
    <t>入居官署の方ご協力ありがとうございました。</t>
  </si>
  <si>
    <t>以上ご協力ありがとうございました。</t>
  </si>
  <si>
    <t>Ｑ１２．昼食時・退庁時はデスクライトを消していますか？</t>
  </si>
  <si>
    <t>Ｑ１３．退庁時はパソコンの電源を消していますか？</t>
  </si>
  <si>
    <t>Ｑ１５．パソコンは、液晶ディスプレイ（ノート型を含む）ですか？</t>
  </si>
  <si>
    <t>Ｑ１６．コピー機の省電力モードは使っていますか？</t>
  </si>
  <si>
    <t>Ｑ１７．職員に省エネ活動は呼びかけていますか？
　例：省エネポスターを貼るなど</t>
  </si>
  <si>
    <t>故障等もなく問題なく運転しているから</t>
  </si>
  <si>
    <t>とする。</t>
  </si>
  <si>
    <t>OA電力</t>
  </si>
  <si>
    <t>年間パソコン電力消費量に省エネによる削減率を乗じ、省エネルギー効果量（年間電力消費削減量）を算出する。</t>
  </si>
  <si>
    <t>年間パソコン電力消費量を算出する。</t>
  </si>
  <si>
    <t>年間OA電力消費量に省エネによる削減率を乗じ、省エネルギー効果量（年間電力消費削減量）を算出する。</t>
  </si>
  <si>
    <t>年間OA電力消費量を算出する。</t>
  </si>
  <si>
    <t>種類</t>
  </si>
  <si>
    <t>CRT型</t>
  </si>
  <si>
    <t>液晶型</t>
  </si>
  <si>
    <t>消費電力</t>
  </si>
  <si>
    <t>W/台</t>
  </si>
  <si>
    <t>年間コピー機電力消費量を算出する。</t>
  </si>
  <si>
    <t>コピー機電力</t>
  </si>
  <si>
    <t>年間コピー機電力消費量に省電力モード可能時間の割合及び、省エネによる削減率を乗じ、</t>
  </si>
  <si>
    <t>省エネルギー効果量（年間電力消費削減量）を算出する。</t>
  </si>
  <si>
    <t>省エネ</t>
  </si>
  <si>
    <t>可能率</t>
  </si>
  <si>
    <t>（通常時消費電力－省電力モード時消費電力）÷通常時消費電力を削減率とする。</t>
  </si>
  <si>
    <t>（CRT型の消費電力－液晶型の消費電力）÷CRT型の消費電力を削減率とする。</t>
  </si>
  <si>
    <t>通常時</t>
  </si>
  <si>
    <t>モード</t>
  </si>
  <si>
    <t>各部分の面積に単位面積あたりの照明電力消費及び標準的な年間点灯時間を乗じ、年間照明電力消費量を算出する。</t>
  </si>
  <si>
    <t>各部分の面積の算定はエリア面積に該当部分の標準的な面積割合を乗じ算出する。</t>
  </si>
  <si>
    <t>各部分</t>
  </si>
  <si>
    <t>単位面積あたり</t>
  </si>
  <si>
    <t>削減率を（90-80）÷90　→</t>
  </si>
  <si>
    <t>事務室部分の面積の算定はエリア面積に該当部分の標準的な面積割合を乗じ算出する。</t>
  </si>
  <si>
    <t>器具の劣化による光の出力低下を24ヶ月（2年）で80%程度とし、</t>
  </si>
  <si>
    <t>2年以内に交換をした場合の平均出力を90％、2年以上清掃しない場合の平均出力を80％とし、</t>
  </si>
  <si>
    <t>器具への埃、汚れによる光の出力低下を6ヶ月で90%程度とし、</t>
  </si>
  <si>
    <t>6ヶ月以内に交換をした場合の平均出力を95％、6ヶ月以上清掃しない場合の平均出力を85％とし、</t>
  </si>
  <si>
    <t>削減率を（95-85）÷95　→</t>
  </si>
  <si>
    <t>事務室部分の面積に単位面積あたりの照明電力消費、1日あたりの消灯時間及び年間日数を乗じ、</t>
  </si>
  <si>
    <t>事務室部分の面積に単位面積あたりのパソコン電力消費、1日あたりの不使用時間及び年間日数を乗じ、</t>
  </si>
  <si>
    <t>事務室部分の面積に単位面積あたりのOA電力消費、1日あたりの使用時間及び年間日数を乗じ、</t>
  </si>
  <si>
    <t>事務室部分の面積に単位面積あたりのパソコン電力消費、1日あたりの使用時間及び年間日数を乗じ、</t>
  </si>
  <si>
    <t>利用者</t>
  </si>
  <si>
    <t>[3]利用者</t>
  </si>
  <si>
    <t>[4]省エネ機器</t>
  </si>
  <si>
    <t>[5]啓発活動</t>
  </si>
  <si>
    <t>[6]保全</t>
  </si>
  <si>
    <t>ヶ月毎比例配分</t>
  </si>
  <si>
    <t>ヶ月毎：効果25％</t>
  </si>
  <si>
    <t>ヶ月毎：効果33％</t>
  </si>
  <si>
    <t>ヶ月毎：効果50％</t>
  </si>
  <si>
    <t>ヶ月毎：効果100％</t>
  </si>
  <si>
    <t>高い</t>
  </si>
  <si>
    <t>やや高い</t>
  </si>
  <si>
    <t>やや低い</t>
  </si>
  <si>
    <t>低い</t>
  </si>
  <si>
    <t>普通</t>
  </si>
  <si>
    <t>※高い,やや高い,普通,やや低い,低いの５段階評価で示し、低いが最も良いランクです。</t>
  </si>
  <si>
    <t>※ランク低い,やや低いの場合は、設備システムの運転の仕方と保全について検討が必要そうです。</t>
  </si>
  <si>
    <t>事務室部分の面積に単位面積あたりのコピー機の電力消費、1日あたりの使用時間及び年間日数を乗じ、</t>
  </si>
  <si>
    <t>事務室部分の面積に単位面積あたりの空調風量、ファン静圧から求めた動力及び年間運転時間を乗じ、</t>
  </si>
  <si>
    <t>年間空調ファン電力消費量を算出する。</t>
  </si>
  <si>
    <t>年間空調ファン機電力消費量に省エネによる削減率を乗じ、省エネルギー効果量（年間電力消費削減量）を算出する。</t>
  </si>
  <si>
    <t>空調風量</t>
  </si>
  <si>
    <t>ファン静圧</t>
  </si>
  <si>
    <t>Pa</t>
  </si>
  <si>
    <t>運転時間</t>
  </si>
  <si>
    <t>ファン効率</t>
  </si>
  <si>
    <t>なお、ファン効率は、建物全体の空調ファンの総合効率として0.3とした。</t>
  </si>
  <si>
    <t>フィルターの埃、汚れによる圧力損失の増加を3ヶ月で5Pa、最終15Pa程度とし、</t>
  </si>
  <si>
    <t>削減率を（808-802）÷808　→</t>
  </si>
  <si>
    <t>3ヶ月以内に清掃交換をした場合の平均静圧を802Pa、3ヶ月以上清掃交換しない場合の平均静圧を808Paとし、</t>
  </si>
  <si>
    <t>一次エネルギー消費</t>
  </si>
  <si>
    <t>MJ/㎡</t>
  </si>
  <si>
    <t>全体面積に単位面積あたりの年間一次エネルギー消費乗じ、年間一次エネルギー消費量を算出する。</t>
  </si>
  <si>
    <t>年間一次エネルギー消費量に省エネによる削減率を乗じ、省エネルギー効果量を算出する。</t>
  </si>
  <si>
    <t>エネルギー効率を通常機器より約10%向上した機器を選定するものとし、削減率は→</t>
  </si>
  <si>
    <t>正規の利用（直上直下階への移動以外）を８割として削減率は→</t>
  </si>
  <si>
    <t>各エレベーターが１週間（5日）のうち１日停止として削減率は→</t>
  </si>
  <si>
    <t>3ヶ月毎に啓発活動を行うことで年間1%の省エネルギーが図れるものとし、削減率→</t>
  </si>
  <si>
    <t>現時点における貴施設の昼休みの消灯による省エネ効果は、</t>
  </si>
  <si>
    <t>h/日</t>
  </si>
  <si>
    <t>記入年月日</t>
  </si>
  <si>
    <t>記入者氏名</t>
  </si>
  <si>
    <t>電話番号</t>
  </si>
  <si>
    <t>ファックス番号</t>
  </si>
  <si>
    <t>一般事項</t>
  </si>
  <si>
    <t>建物名称</t>
  </si>
  <si>
    <t>建物所在地</t>
  </si>
  <si>
    <t>分類</t>
  </si>
  <si>
    <t>回答欄</t>
  </si>
  <si>
    <t>照明</t>
  </si>
  <si>
    <t>実施率</t>
  </si>
  <si>
    <t>2.</t>
  </si>
  <si>
    <t>3.</t>
  </si>
  <si>
    <t>1.はい　2.いいえ</t>
  </si>
  <si>
    <t>4.</t>
  </si>
  <si>
    <t>1.はい　2.いいえ</t>
  </si>
  <si>
    <t>照明のスイッチの位置が悪いか、またはブースの扉が常時閉のためトイレブース内の人の存在を確認できないから</t>
  </si>
  <si>
    <t>空調</t>
  </si>
  <si>
    <t>冷房の温度設定ができないから</t>
  </si>
  <si>
    <t>暖房の温度設定ができないから</t>
  </si>
  <si>
    <t>空調を停止（部分空調）することができないから</t>
  </si>
  <si>
    <t>1.はい　2.いいえ</t>
  </si>
  <si>
    <t>ブラインドを閉めなくても暑くないから（東向き以外・隣接建物の影になる）</t>
  </si>
  <si>
    <t>省エネ機器</t>
  </si>
  <si>
    <t>整備計画上組み込まれていないから</t>
  </si>
  <si>
    <t>保全</t>
  </si>
  <si>
    <t>照明器具の清掃周期を決めていない場合、理由として下記のどれが最も近いですか？</t>
  </si>
  <si>
    <t>空調機のフィルター清掃（交換）周期を決めていない場合、理由として下記のどれが最も近いですか？</t>
  </si>
  <si>
    <t>小計</t>
  </si>
  <si>
    <t>上記以外に、使用エネルギー節減のために実施している対策がございましたら、ご記入ください。</t>
  </si>
  <si>
    <t>実施年次及び期間</t>
  </si>
  <si>
    <t>その他、ご意見等ございましたらご自由にお書きください。</t>
  </si>
  <si>
    <t>現在のあなたの施設の省エネ運用度</t>
  </si>
  <si>
    <t>努力しだいで達成できる省エネ可能性度</t>
  </si>
  <si>
    <t>合計</t>
  </si>
  <si>
    <t>区分</t>
  </si>
  <si>
    <t>単位</t>
  </si>
  <si>
    <t>現時点における貴施設の窓際消灯による省エネ効果は、</t>
  </si>
  <si>
    <t>現時点における貴施設の廊下間引き点灯による省エネ効果は、</t>
  </si>
  <si>
    <t>現時点における貴施設の倉庫などの消灯による省エネ効果は、</t>
  </si>
  <si>
    <t>点滅系統が間引き点灯に対応していないから</t>
  </si>
  <si>
    <t>呼びかける方法が分からないから</t>
  </si>
  <si>
    <t>｢実施率」とはご回答者の居られるエリアで、どの程度の範囲で省エネ対策を行っているかを示すものです。実施率の目安（注記1)を次頁に示します。入居範囲が広い場合、複数階に亘る場合等、実施率の記入が極めて困難な場合は、主たる事務室での取り組み状況を回答していただいて結構です。</t>
  </si>
  <si>
    <t>（注記１）実施率の目安</t>
  </si>
  <si>
    <t>　</t>
  </si>
  <si>
    <r>
      <t>□あなたの施設の省エネ可能性度：更なる努力により削減することが可能と考えられるエネルギー量・CO</t>
    </r>
    <r>
      <rPr>
        <vertAlign val="subscript"/>
        <sz val="11"/>
        <rFont val="ＭＳ Ｐ明朝"/>
        <family val="1"/>
      </rPr>
      <t>2</t>
    </r>
    <r>
      <rPr>
        <sz val="11"/>
        <rFont val="ＭＳ Ｐ明朝"/>
        <family val="1"/>
      </rPr>
      <t>排出量・概算金額を現したものです。より一層の自助努力を期待したものです。</t>
    </r>
  </si>
  <si>
    <t>建物諸元記入欄の黄色の部分に建物名称、建物所在地、延べ面積、官署名（管理官署か入居官署か）、官署面積、ご回答者をご記入下さい。官署面積は職員エリアと来庁者エリアの記入欄（黄色の部分）にそれぞれ数値を入れていただくと、自動的に集計されるようになっています。（※この欄を記入されないとエラーとなる場合があります。）</t>
  </si>
  <si>
    <t>本調査シートは省エネ実施度の概算を出すものですので、厳密な面積を入れていただく必要はありません（例えば、延べ床面積に、当該部分の概ねの割合を乗じて算出いただいても結構です）。</t>
  </si>
  <si>
    <t>ご回答者名は記載内容について当方から質問等がある場合の問い合わせ先とさせていただくものです。</t>
  </si>
  <si>
    <t>あなたの施設のチェックリスト[質問編]の３３の質問について、職員エリアと来庁者エリアの区分ごとに、「回答欄」の黄色の部分に回答をご記入ください（エクセルの場合、記入セル（黄色の部分）にカーソルを移動すると▼のボタンが表示されますので、そこをクリックすると、プルダウンリストが表れますので選択してください）。（※何らかの数値を選択しないと結果が表示されない場合があります。）</t>
  </si>
  <si>
    <t>現時点における貴施設のトイレの消灯による省エネ効果は、</t>
  </si>
  <si>
    <t>現時点における貴施設の冷房設定温度28℃による省エネ効果は、</t>
  </si>
  <si>
    <t>現時点における貴施設の暖房設定温度20℃による省エネ効果は、</t>
  </si>
  <si>
    <t>現時点における貴施設の不要室の空調停止による省エネ効果は、</t>
  </si>
  <si>
    <t>現時点における貴施設の空調時の窓/扉の閉鎖による省エネ効果は、</t>
  </si>
  <si>
    <t>現時点における貴施設の冷房時のブラインドの閉鎖による省エネ効果は、</t>
  </si>
  <si>
    <t>現時点における貴施設の退庁時のブラインドの閉鎖による省エネ効果は、</t>
  </si>
  <si>
    <t>現時点における貴施設のデスクライトの消灯による省エネ効果は、</t>
  </si>
  <si>
    <t>現時点における貴施設のパソコンの電源OFFによる省エネ効果は、</t>
  </si>
  <si>
    <t>現時点における貴施設のノート型パソコン或いは液晶ディスプレイの採用による省エネ効果は、</t>
  </si>
  <si>
    <t>現時点における貴施設の省エネ活動の呼びかけによる省エネ効果は、</t>
  </si>
  <si>
    <t>1.はい　2.いいえ</t>
  </si>
  <si>
    <t>1.はい　2.いいえ</t>
  </si>
  <si>
    <t>1.はい　2.いいえ</t>
  </si>
  <si>
    <t>1.はい　2.いいえ</t>
  </si>
  <si>
    <t>1.はい　2.いいえ</t>
  </si>
  <si>
    <t>1.はい　2.いいえ</t>
  </si>
  <si>
    <t>合同庁舎の場合には、[1]～[6]の質問項目については管理官署・入居官署の方、共にご回答下さい。[7]～[9]の質問項目については、管理官署の方のみご回答いただければ結構です。</t>
  </si>
  <si>
    <t>Ｑ３．あなたの施設のチェックシート[結果編］の表現は分かりやすかったでしょうか？</t>
  </si>
  <si>
    <r>
      <t>MJ／年</t>
    </r>
    <r>
      <rPr>
        <vertAlign val="superscript"/>
        <sz val="11"/>
        <rFont val="ＭＳ Ｐゴシック"/>
        <family val="3"/>
      </rPr>
      <t>*)</t>
    </r>
  </si>
  <si>
    <t>省エネルギーチェックシート（案）［記入要領］</t>
  </si>
  <si>
    <t>Ｑ１．昼休みに消灯していますか？</t>
  </si>
  <si>
    <t>Ｑ２．屋外からの採光にあわせて窓際は消灯していますか？</t>
  </si>
  <si>
    <t>Ｑ３．廊下の照明は間引き点灯していますか？</t>
  </si>
  <si>
    <t>Ｑ４．倉庫などの照明は普段消していますか？</t>
  </si>
  <si>
    <t>Ｑ５．トイレの照明は、非使用時に消灯していますか？</t>
  </si>
  <si>
    <t>Ｑ６．冷房の設定温度は、28℃にしていますか？</t>
  </si>
  <si>
    <t>Ｑ７．暖房の設定温度は、20℃にしていますか？</t>
  </si>
  <si>
    <t>Ｑ８．使用していない部屋の空調は消していますか？</t>
  </si>
  <si>
    <t>Ｑ１０．昼間の冷房時にブラインドを降ろしていますか？</t>
  </si>
  <si>
    <t>Ｑ１１．退庁時にブラインドを降ろしていますか？</t>
  </si>
  <si>
    <t>A1</t>
  </si>
  <si>
    <t>A2</t>
  </si>
  <si>
    <t>A6</t>
  </si>
  <si>
    <t>延べ面積</t>
  </si>
  <si>
    <t>事務所面積</t>
  </si>
  <si>
    <t>照明電力</t>
  </si>
  <si>
    <t>W/㎡</t>
  </si>
  <si>
    <t>㎡</t>
  </si>
  <si>
    <t>㎡</t>
  </si>
  <si>
    <t>消灯時間</t>
  </si>
  <si>
    <t>稼働日数</t>
  </si>
  <si>
    <t>日/年</t>
  </si>
  <si>
    <t>%(事務所面積割合)</t>
  </si>
  <si>
    <t>省エネ効果</t>
  </si>
  <si>
    <t>kWh/年</t>
  </si>
  <si>
    <t>h/年</t>
  </si>
  <si>
    <t>CEC/L</t>
  </si>
  <si>
    <t>廊下面積</t>
  </si>
  <si>
    <t>%(廊下面積割合)</t>
  </si>
  <si>
    <t>50%間引き</t>
  </si>
  <si>
    <t>昼休み1時間50%消灯</t>
  </si>
  <si>
    <t>倉庫面積</t>
  </si>
  <si>
    <t>省エネルギーチェックシート</t>
  </si>
  <si>
    <t>%(倉庫面積割合)</t>
  </si>
  <si>
    <t>年間点灯時間</t>
  </si>
  <si>
    <t>削減率</t>
  </si>
  <si>
    <t>%(トイレ面積割合)</t>
  </si>
  <si>
    <t>トイレ面積</t>
  </si>
  <si>
    <t>年間運転時間</t>
  </si>
  <si>
    <t>MJ/年です。</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</si>
</sst>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00_);[Red]\(#,##0.00\)"/>
    <numFmt numFmtId="180" formatCode="0.00_);[Red]\(0.00\)"/>
    <numFmt numFmtId="181" formatCode="0.00_ "/>
    <numFmt numFmtId="182" formatCode="0&quot;人&quot;"/>
    <numFmt numFmtId="183" formatCode="[$-F400]h:mm:ss\ AM/PM"/>
    <numFmt numFmtId="184" formatCode="h:mm;@"/>
    <numFmt numFmtId="185" formatCode="h&quot;時&quot;mm&quot;分&quot;;@"/>
    <numFmt numFmtId="186" formatCode="0.0_ "/>
    <numFmt numFmtId="187" formatCode="#,##0.0;[Red]\-#,##0.0"/>
    <numFmt numFmtId="188" formatCode="0&quot;点&quot;"/>
    <numFmt numFmtId="189" formatCode="&quot;現&quot;&quot;在&quot;&quot;の&quot;&quot;あ&quot;&quot;な&quot;&quot;た&quot;&quot;の&quot;&quot;施&quot;&quot;設&quot;&quot;の&quot;&quot;省&quot;&quot;エ&quot;&quot;ネ&quot;&quot;運&quot;&quot;用&quot;&quot;度&quot;\ 0&quot;点&quot;"/>
    <numFmt numFmtId="190" formatCode="0&quot;㎡&quot;"/>
    <numFmt numFmtId="191" formatCode="0.0&quot;㎡&quot;"/>
    <numFmt numFmtId="192" formatCode="0.00&quot;㎡&quot;"/>
    <numFmt numFmtId="193" formatCode="#,##0.00_ ;[Red]\-#,##0.00\ "/>
    <numFmt numFmtId="194" formatCode="#,##0.0_ ;[Red]\-#,##0.0\ "/>
    <numFmt numFmtId="195" formatCode="&quot;Yes&quot;;&quot;Yes&quot;;&quot;No&quot;"/>
    <numFmt numFmtId="196" formatCode="&quot;True&quot;;&quot;True&quot;;&quot;False&quot;"/>
    <numFmt numFmtId="197" formatCode="&quot;On&quot;;&quot;On&quot;;&quot;Off&quot;"/>
    <numFmt numFmtId="198" formatCode="[$€-2]\ #,##0.00_);[Red]\([$€-2]\ #,##0.00\)"/>
    <numFmt numFmtId="199" formatCode="0.000_ "/>
    <numFmt numFmtId="200" formatCode="#,##0.000;[Red]\-#,##0.000"/>
    <numFmt numFmtId="201" formatCode="#,##0_);[Red]\(#,##0\)"/>
    <numFmt numFmtId="202" formatCode="&quot;現在のあなたの施設の保全・運用度&quot;0&quot;点&quot;"/>
    <numFmt numFmtId="203" formatCode="&quot;現在のあなたの施設の運用・保全度&quot;0&quot;点&quot;"/>
    <numFmt numFmtId="204" formatCode="&quot;現在のあなたの施設の運用・保全度&quot;0&quot;％&quot;"/>
    <numFmt numFmtId="205" formatCode="0.0_);[Red]\(0.0\)"/>
    <numFmt numFmtId="206" formatCode="#,##0.0000_ "/>
    <numFmt numFmtId="207" formatCode="0_ &quot;点&quot;"/>
    <numFmt numFmtId="208" formatCode="0_点"/>
  </numFmts>
  <fonts count="74">
    <font>
      <sz val="11"/>
      <name val="ＭＳ Ｐゴシック"/>
      <family val="3"/>
    </font>
    <font>
      <sz val="6"/>
      <name val="ＭＳ Ｐゴシック"/>
      <family val="3"/>
    </font>
    <font>
      <sz val="9"/>
      <name val="ＭＳ Ｐゴシック"/>
      <family val="3"/>
    </font>
    <font>
      <b/>
      <sz val="11"/>
      <name val="ＭＳ Ｐゴシック"/>
      <family val="3"/>
    </font>
    <font>
      <b/>
      <sz val="12"/>
      <name val="ＭＳ Ｐゴシック"/>
      <family val="3"/>
    </font>
    <font>
      <u val="single"/>
      <sz val="11"/>
      <color indexed="12"/>
      <name val="ＭＳ Ｐゴシック"/>
      <family val="3"/>
    </font>
    <font>
      <b/>
      <sz val="14"/>
      <name val="ＭＳ Ｐゴシック"/>
      <family val="3"/>
    </font>
    <font>
      <sz val="14"/>
      <name val="ＭＳ Ｐゴシック"/>
      <family val="3"/>
    </font>
    <font>
      <sz val="11"/>
      <color indexed="12"/>
      <name val="ＭＳ Ｐゴシック"/>
      <family val="3"/>
    </font>
    <font>
      <sz val="11"/>
      <color indexed="10"/>
      <name val="ＭＳ Ｐゴシック"/>
      <family val="3"/>
    </font>
    <font>
      <u val="single"/>
      <sz val="9.35"/>
      <color indexed="36"/>
      <name val="ＭＳ Ｐゴシック"/>
      <family val="3"/>
    </font>
    <font>
      <vertAlign val="superscript"/>
      <sz val="9"/>
      <name val="ＭＳ Ｐゴシック"/>
      <family val="3"/>
    </font>
    <font>
      <u val="single"/>
      <sz val="9"/>
      <color indexed="12"/>
      <name val="ＭＳ Ｐゴシック"/>
      <family val="3"/>
    </font>
    <font>
      <sz val="11"/>
      <name val="ＭＳ Ｐ明朝"/>
      <family val="1"/>
    </font>
    <font>
      <b/>
      <sz val="9"/>
      <name val="ＭＳ Ｐゴシック"/>
      <family val="3"/>
    </font>
    <font>
      <sz val="10"/>
      <name val="ＭＳ Ｐゴシック"/>
      <family val="3"/>
    </font>
    <font>
      <b/>
      <sz val="8"/>
      <name val="ＭＳ Ｐゴシック"/>
      <family val="3"/>
    </font>
    <font>
      <vertAlign val="subscript"/>
      <sz val="11"/>
      <name val="ＭＳ Ｐゴシック"/>
      <family val="3"/>
    </font>
    <font>
      <vertAlign val="superscript"/>
      <sz val="11"/>
      <name val="ＭＳ Ｐゴシック"/>
      <family val="3"/>
    </font>
    <font>
      <strike/>
      <sz val="11"/>
      <name val="ＭＳ Ｐゴシック"/>
      <family val="3"/>
    </font>
    <font>
      <strike/>
      <sz val="9"/>
      <name val="ＭＳ Ｐゴシック"/>
      <family val="3"/>
    </font>
    <font>
      <sz val="9"/>
      <name val="ＭＳ Ｐ明朝"/>
      <family val="1"/>
    </font>
    <font>
      <sz val="12"/>
      <name val="ＭＳ Ｐゴシック"/>
      <family val="3"/>
    </font>
    <font>
      <sz val="16"/>
      <name val="ＭＳ Ｐゴシック"/>
      <family val="3"/>
    </font>
    <font>
      <sz val="8"/>
      <name val="ＭＳ Ｐゴシック"/>
      <family val="3"/>
    </font>
    <font>
      <vertAlign val="superscript"/>
      <sz val="11"/>
      <color indexed="10"/>
      <name val="ＭＳ Ｐゴシック"/>
      <family val="3"/>
    </font>
    <font>
      <sz val="9"/>
      <color indexed="10"/>
      <name val="ＭＳ Ｐゴシック"/>
      <family val="3"/>
    </font>
    <font>
      <vertAlign val="subscript"/>
      <sz val="11"/>
      <name val="ＭＳ Ｐ明朝"/>
      <family val="1"/>
    </font>
    <font>
      <sz val="9.25"/>
      <color indexed="8"/>
      <name val="ＭＳ Ｐゴシック"/>
      <family val="3"/>
    </font>
    <font>
      <sz val="10"/>
      <color indexed="8"/>
      <name val="ＭＳ Ｐゴシック"/>
      <family val="3"/>
    </font>
    <font>
      <sz val="8"/>
      <color indexed="8"/>
      <name val="ＭＳ Ｐゴシック"/>
      <family val="3"/>
    </font>
    <font>
      <sz val="10.35"/>
      <color indexed="8"/>
      <name val="ＭＳ Ｐゴシック"/>
      <family val="3"/>
    </font>
    <font>
      <sz val="8.75"/>
      <color indexed="8"/>
      <name val="ＭＳ Ｐゴシック"/>
      <family val="3"/>
    </font>
    <font>
      <sz val="11.75"/>
      <color indexed="8"/>
      <name val="ＭＳ Ｐゴシック"/>
      <family val="3"/>
    </font>
    <font>
      <sz val="13.75"/>
      <color indexed="8"/>
      <name val="ＭＳ Ｐゴシック"/>
      <family val="3"/>
    </font>
    <font>
      <sz val="8.05"/>
      <color indexed="8"/>
      <name val="ＭＳ Ｐゴシック"/>
      <family val="3"/>
    </font>
    <font>
      <sz val="11.5"/>
      <color indexed="8"/>
      <name val="ＭＳ Ｐゴシック"/>
      <family val="3"/>
    </font>
    <font>
      <sz val="13.5"/>
      <color indexed="8"/>
      <name val="ＭＳ Ｐゴシック"/>
      <family val="3"/>
    </font>
    <font>
      <sz val="9"/>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65"/>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thin"/>
      <bottom style="thin"/>
    </border>
    <border>
      <left style="thin"/>
      <right style="medium"/>
      <top style="thin"/>
      <bottom style="thin"/>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style="thin"/>
      <bottom>
        <color indexed="63"/>
      </bottom>
    </border>
    <border>
      <left style="medium"/>
      <right style="thin"/>
      <top style="thin"/>
      <bottom>
        <color indexed="63"/>
      </bottom>
    </border>
    <border>
      <left>
        <color indexed="63"/>
      </left>
      <right>
        <color indexed="63"/>
      </right>
      <top style="medium"/>
      <bottom>
        <color indexed="63"/>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double"/>
    </border>
    <border diagonalUp="1">
      <left>
        <color indexed="63"/>
      </left>
      <right style="thin"/>
      <top>
        <color indexed="63"/>
      </top>
      <bottom style="thin"/>
      <diagonal style="thin"/>
    </border>
    <border>
      <left style="thin"/>
      <right>
        <color indexed="63"/>
      </right>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ck"/>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style="thick"/>
      <right>
        <color indexed="63"/>
      </right>
      <top>
        <color indexed="63"/>
      </top>
      <bottom style="thin"/>
    </border>
    <border>
      <left style="thick"/>
      <right>
        <color indexed="63"/>
      </right>
      <top style="thick"/>
      <bottom style="thin"/>
    </border>
    <border>
      <left>
        <color indexed="63"/>
      </left>
      <right>
        <color indexed="63"/>
      </right>
      <top style="thick"/>
      <bottom style="thin"/>
    </border>
    <border>
      <left style="thick"/>
      <right style="thin"/>
      <top style="thin"/>
      <bottom style="thick"/>
    </border>
    <border>
      <left style="thin"/>
      <right>
        <color indexed="63"/>
      </right>
      <top style="thin"/>
      <bottom style="double"/>
    </border>
    <border>
      <left>
        <color indexed="63"/>
      </left>
      <right>
        <color indexed="63"/>
      </right>
      <top style="thin"/>
      <bottom style="double"/>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style="medium"/>
    </border>
    <border>
      <left>
        <color indexed="63"/>
      </left>
      <right>
        <color indexed="63"/>
      </right>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medium"/>
      <top style="medium"/>
      <bottom style="medium"/>
    </border>
    <border>
      <left style="thin"/>
      <right style="medium"/>
      <top style="medium"/>
      <bottom style="medium"/>
    </border>
    <border>
      <left style="thin"/>
      <right style="thin"/>
      <top style="medium"/>
      <bottom>
        <color indexed="63"/>
      </bottom>
    </border>
    <border>
      <left style="thin"/>
      <right style="medium"/>
      <top style="medium"/>
      <bottom style="thin"/>
    </border>
    <border>
      <left style="thin"/>
      <right style="double"/>
      <top style="medium"/>
      <bottom style="thin"/>
    </border>
    <border>
      <left style="double"/>
      <right style="medium"/>
      <top style="medium"/>
      <bottom style="thin"/>
    </border>
    <border>
      <left style="thin"/>
      <right style="double"/>
      <top style="thin"/>
      <bottom style="thin"/>
    </border>
    <border>
      <left style="double"/>
      <right style="medium"/>
      <top style="thin"/>
      <bottom style="thin"/>
    </border>
    <border>
      <left style="thin"/>
      <right style="double"/>
      <top style="thin"/>
      <bottom style="medium"/>
    </border>
    <border>
      <left style="double"/>
      <right style="medium"/>
      <top style="thin"/>
      <bottom style="medium"/>
    </border>
    <border>
      <left style="thin"/>
      <right>
        <color indexed="63"/>
      </right>
      <top style="double"/>
      <bottom style="double"/>
    </border>
    <border>
      <left>
        <color indexed="63"/>
      </left>
      <right style="medium"/>
      <top style="double"/>
      <bottom style="double"/>
    </border>
    <border>
      <left>
        <color indexed="63"/>
      </left>
      <right>
        <color indexed="63"/>
      </right>
      <top style="double"/>
      <bottom style="double"/>
    </border>
    <border>
      <left style="medium"/>
      <right>
        <color indexed="63"/>
      </right>
      <top style="double"/>
      <bottom style="double"/>
    </border>
    <border>
      <left style="medium"/>
      <right>
        <color indexed="63"/>
      </right>
      <top style="thin"/>
      <bottom style="double"/>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73" fillId="32" borderId="0" applyNumberFormat="0" applyBorder="0" applyAlignment="0" applyProtection="0"/>
  </cellStyleXfs>
  <cellXfs count="66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6" fillId="0" borderId="0" xfId="0" applyFont="1" applyAlignment="1">
      <alignment/>
    </xf>
    <xf numFmtId="0" fontId="4" fillId="0" borderId="0" xfId="0"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0" xfId="61" applyFont="1">
      <alignment vertical="center"/>
      <protection/>
    </xf>
    <xf numFmtId="0" fontId="2" fillId="0" borderId="0" xfId="61" applyFont="1" applyAlignment="1">
      <alignment horizontal="center" vertical="center"/>
      <protection/>
    </xf>
    <xf numFmtId="0" fontId="2" fillId="0" borderId="0" xfId="61" applyFont="1" quotePrefix="1">
      <alignment vertical="center"/>
      <protection/>
    </xf>
    <xf numFmtId="0" fontId="0" fillId="0" borderId="0" xfId="61" applyFont="1">
      <alignment vertical="center"/>
      <protection/>
    </xf>
    <xf numFmtId="0" fontId="0" fillId="0" borderId="14" xfId="61" applyFont="1" applyBorder="1" applyAlignment="1">
      <alignment horizontal="centerContinuous" vertical="center"/>
      <protection/>
    </xf>
    <xf numFmtId="0" fontId="0" fillId="0" borderId="15" xfId="61" applyFont="1" applyBorder="1" applyAlignment="1">
      <alignment horizontal="centerContinuous" vertical="center"/>
      <protection/>
    </xf>
    <xf numFmtId="0" fontId="0" fillId="0" borderId="16" xfId="61" applyFont="1" applyBorder="1" applyAlignment="1">
      <alignment horizontal="centerContinuous" vertical="center"/>
      <protection/>
    </xf>
    <xf numFmtId="0" fontId="4" fillId="0" borderId="10" xfId="61" applyFont="1" applyBorder="1">
      <alignment vertical="center"/>
      <protection/>
    </xf>
    <xf numFmtId="56" fontId="2" fillId="0" borderId="0" xfId="61" applyNumberFormat="1" applyFont="1" applyAlignment="1" quotePrefix="1">
      <alignment horizontal="right" vertical="center"/>
      <protection/>
    </xf>
    <xf numFmtId="38" fontId="0" fillId="0" borderId="0" xfId="49" applyFont="1" applyAlignment="1">
      <alignment/>
    </xf>
    <xf numFmtId="38" fontId="8" fillId="0" borderId="0" xfId="49" applyFont="1" applyAlignment="1">
      <alignment/>
    </xf>
    <xf numFmtId="0" fontId="8" fillId="0" borderId="0" xfId="0" applyFont="1" applyAlignment="1">
      <alignment/>
    </xf>
    <xf numFmtId="0" fontId="9" fillId="0" borderId="0" xfId="0" applyFont="1" applyAlignment="1">
      <alignment/>
    </xf>
    <xf numFmtId="0" fontId="0" fillId="0" borderId="17" xfId="0" applyBorder="1" applyAlignment="1">
      <alignment/>
    </xf>
    <xf numFmtId="40" fontId="8" fillId="0" borderId="0" xfId="49" applyNumberFormat="1" applyFont="1" applyAlignment="1">
      <alignment/>
    </xf>
    <xf numFmtId="187" fontId="8" fillId="0" borderId="0" xfId="49" applyNumberFormat="1" applyFont="1" applyAlignment="1">
      <alignment/>
    </xf>
    <xf numFmtId="0" fontId="7" fillId="0" borderId="0" xfId="61" applyFont="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0" xfId="61" applyFont="1" applyBorder="1">
      <alignment vertical="center"/>
      <protection/>
    </xf>
    <xf numFmtId="0" fontId="0" fillId="0" borderId="18" xfId="61" applyFont="1" applyBorder="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3" fillId="0" borderId="15" xfId="61" applyFont="1" applyBorder="1" applyAlignment="1">
      <alignment horizontal="left" vertical="center" wrapText="1"/>
      <protection/>
    </xf>
    <xf numFmtId="0" fontId="3" fillId="0" borderId="16" xfId="61" applyFont="1" applyBorder="1" applyAlignment="1">
      <alignment horizontal="left" vertical="center" wrapText="1"/>
      <protection/>
    </xf>
    <xf numFmtId="0" fontId="3" fillId="0" borderId="21" xfId="61" applyFont="1" applyBorder="1" applyAlignment="1">
      <alignment horizontal="left" vertical="center" wrapText="1"/>
      <protection/>
    </xf>
    <xf numFmtId="0" fontId="0" fillId="0" borderId="14" xfId="61" applyFont="1" applyFill="1" applyBorder="1">
      <alignment vertical="center"/>
      <protection/>
    </xf>
    <xf numFmtId="0" fontId="3" fillId="0" borderId="15" xfId="61" applyFont="1" applyFill="1" applyBorder="1" applyAlignment="1">
      <alignment horizontal="left" vertical="center" wrapText="1"/>
      <protection/>
    </xf>
    <xf numFmtId="0" fontId="3" fillId="0" borderId="22" xfId="61" applyFont="1" applyBorder="1" applyAlignment="1">
      <alignment horizontal="left" vertical="center" wrapText="1"/>
      <protection/>
    </xf>
    <xf numFmtId="0" fontId="3" fillId="0" borderId="13" xfId="0" applyFont="1" applyBorder="1" applyAlignment="1">
      <alignment/>
    </xf>
    <xf numFmtId="0" fontId="0" fillId="0" borderId="0" xfId="0" applyAlignment="1">
      <alignment horizontal="right"/>
    </xf>
    <xf numFmtId="0" fontId="0" fillId="0" borderId="0" xfId="0" applyAlignment="1">
      <alignment horizontal="left"/>
    </xf>
    <xf numFmtId="38" fontId="0" fillId="0" borderId="0" xfId="0" applyNumberFormat="1" applyAlignment="1">
      <alignment/>
    </xf>
    <xf numFmtId="38" fontId="0" fillId="0" borderId="23" xfId="0" applyNumberFormat="1" applyBorder="1" applyAlignment="1">
      <alignment/>
    </xf>
    <xf numFmtId="0" fontId="0" fillId="0" borderId="24" xfId="0" applyBorder="1" applyAlignment="1">
      <alignment/>
    </xf>
    <xf numFmtId="0" fontId="2" fillId="0" borderId="16" xfId="61" applyFont="1" applyBorder="1">
      <alignment vertical="center"/>
      <protection/>
    </xf>
    <xf numFmtId="0" fontId="2" fillId="0" borderId="25" xfId="61" applyFont="1" applyBorder="1">
      <alignment vertical="center"/>
      <protection/>
    </xf>
    <xf numFmtId="0" fontId="2" fillId="0" borderId="26" xfId="61" applyFont="1" applyBorder="1">
      <alignment vertical="center"/>
      <protection/>
    </xf>
    <xf numFmtId="0" fontId="2" fillId="0" borderId="15" xfId="61" applyFont="1" applyBorder="1">
      <alignment vertical="center"/>
      <protection/>
    </xf>
    <xf numFmtId="38" fontId="2" fillId="0" borderId="14" xfId="49" applyFont="1" applyBorder="1" applyAlignment="1">
      <alignment vertical="center"/>
    </xf>
    <xf numFmtId="38" fontId="2" fillId="0" borderId="27" xfId="49" applyFont="1" applyBorder="1" applyAlignment="1">
      <alignment vertical="center"/>
    </xf>
    <xf numFmtId="0" fontId="2" fillId="0" borderId="0" xfId="61" applyFont="1" applyBorder="1">
      <alignment vertical="center"/>
      <protection/>
    </xf>
    <xf numFmtId="0" fontId="2" fillId="0" borderId="21" xfId="61" applyFont="1" applyBorder="1">
      <alignment vertical="center"/>
      <protection/>
    </xf>
    <xf numFmtId="0" fontId="2" fillId="0" borderId="10" xfId="61" applyFont="1" applyBorder="1">
      <alignment vertical="center"/>
      <protection/>
    </xf>
    <xf numFmtId="0" fontId="2" fillId="0" borderId="0" xfId="61" applyFont="1" applyBorder="1" applyAlignment="1">
      <alignment horizontal="center" vertical="center"/>
      <protection/>
    </xf>
    <xf numFmtId="0" fontId="0" fillId="0" borderId="21" xfId="61" applyFont="1" applyBorder="1">
      <alignment vertical="center"/>
      <protection/>
    </xf>
    <xf numFmtId="0" fontId="0" fillId="0" borderId="28" xfId="61" applyFont="1" applyBorder="1">
      <alignment vertical="center"/>
      <protection/>
    </xf>
    <xf numFmtId="0" fontId="0" fillId="0" borderId="29" xfId="61" applyFont="1" applyBorder="1">
      <alignment vertical="center"/>
      <protection/>
    </xf>
    <xf numFmtId="0" fontId="2" fillId="0" borderId="10" xfId="61" applyFont="1" applyBorder="1" applyAlignment="1">
      <alignment vertical="center" wrapText="1"/>
      <protection/>
    </xf>
    <xf numFmtId="0" fontId="2" fillId="0" borderId="30" xfId="61" applyFont="1" applyBorder="1">
      <alignment vertical="center"/>
      <protection/>
    </xf>
    <xf numFmtId="0" fontId="2" fillId="0" borderId="31" xfId="61" applyFont="1" applyBorder="1">
      <alignment vertical="center"/>
      <protection/>
    </xf>
    <xf numFmtId="0" fontId="2" fillId="0" borderId="32" xfId="61" applyFont="1" applyBorder="1">
      <alignment vertical="center"/>
      <protection/>
    </xf>
    <xf numFmtId="0" fontId="2" fillId="0" borderId="33" xfId="61" applyFont="1" applyBorder="1">
      <alignment vertical="center"/>
      <protection/>
    </xf>
    <xf numFmtId="0" fontId="2" fillId="0" borderId="34" xfId="61" applyFont="1" applyBorder="1">
      <alignment vertical="center"/>
      <protection/>
    </xf>
    <xf numFmtId="0" fontId="2" fillId="0" borderId="35" xfId="61" applyFont="1" applyBorder="1">
      <alignment vertical="center"/>
      <protection/>
    </xf>
    <xf numFmtId="0" fontId="0" fillId="0" borderId="36" xfId="61" applyFont="1" applyBorder="1">
      <alignment vertical="center"/>
      <protection/>
    </xf>
    <xf numFmtId="0" fontId="0" fillId="0" borderId="37" xfId="61" applyFont="1" applyBorder="1">
      <alignment vertical="center"/>
      <protection/>
    </xf>
    <xf numFmtId="0" fontId="0" fillId="0" borderId="38" xfId="61" applyFont="1" applyBorder="1">
      <alignment vertical="center"/>
      <protection/>
    </xf>
    <xf numFmtId="0" fontId="0" fillId="0" borderId="39" xfId="61" applyFont="1" applyBorder="1">
      <alignment vertical="center"/>
      <protection/>
    </xf>
    <xf numFmtId="0" fontId="0" fillId="0" borderId="40" xfId="61" applyFont="1" applyBorder="1">
      <alignment vertical="center"/>
      <protection/>
    </xf>
    <xf numFmtId="0" fontId="0" fillId="0" borderId="41" xfId="61" applyFont="1" applyBorder="1">
      <alignment vertical="center"/>
      <protection/>
    </xf>
    <xf numFmtId="0" fontId="0" fillId="0" borderId="42" xfId="61" applyFont="1" applyBorder="1">
      <alignment vertical="center"/>
      <protection/>
    </xf>
    <xf numFmtId="0" fontId="0" fillId="0" borderId="43" xfId="61" applyFont="1" applyBorder="1">
      <alignment vertical="center"/>
      <protection/>
    </xf>
    <xf numFmtId="0" fontId="0" fillId="0" borderId="44" xfId="61" applyFont="1" applyBorder="1">
      <alignment vertical="center"/>
      <protection/>
    </xf>
    <xf numFmtId="0" fontId="0" fillId="0" borderId="45" xfId="61" applyFont="1" applyBorder="1">
      <alignment vertical="center"/>
      <protection/>
    </xf>
    <xf numFmtId="0" fontId="0" fillId="0" borderId="46" xfId="61" applyFont="1" applyBorder="1">
      <alignment vertical="center"/>
      <protection/>
    </xf>
    <xf numFmtId="0" fontId="2" fillId="0" borderId="33" xfId="61" applyFont="1" applyBorder="1" applyAlignment="1">
      <alignment vertical="center"/>
      <protection/>
    </xf>
    <xf numFmtId="0" fontId="2" fillId="0" borderId="31"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47" xfId="61" applyFont="1" applyBorder="1">
      <alignment vertical="center"/>
      <protection/>
    </xf>
    <xf numFmtId="38" fontId="2" fillId="0" borderId="47" xfId="49" applyFont="1" applyBorder="1" applyAlignment="1">
      <alignment vertical="center"/>
    </xf>
    <xf numFmtId="0" fontId="2" fillId="0" borderId="48" xfId="61" applyFont="1" applyBorder="1">
      <alignment vertical="center"/>
      <protection/>
    </xf>
    <xf numFmtId="0" fontId="2" fillId="0" borderId="49" xfId="61" applyFont="1" applyBorder="1">
      <alignment vertical="center"/>
      <protection/>
    </xf>
    <xf numFmtId="0" fontId="2" fillId="0" borderId="36" xfId="61" applyFont="1" applyBorder="1">
      <alignment vertical="center"/>
      <protection/>
    </xf>
    <xf numFmtId="38" fontId="2" fillId="0" borderId="34" xfId="49" applyFont="1" applyBorder="1" applyAlignment="1">
      <alignment vertical="center"/>
    </xf>
    <xf numFmtId="0" fontId="2" fillId="0" borderId="22" xfId="61" applyFont="1" applyBorder="1">
      <alignment vertical="center"/>
      <protection/>
    </xf>
    <xf numFmtId="0" fontId="2" fillId="0" borderId="50" xfId="61" applyFont="1" applyBorder="1" applyAlignment="1">
      <alignment horizontal="center" vertical="center"/>
      <protection/>
    </xf>
    <xf numFmtId="0" fontId="2" fillId="0" borderId="51" xfId="61" applyFont="1" applyBorder="1">
      <alignment vertical="center"/>
      <protection/>
    </xf>
    <xf numFmtId="38" fontId="2" fillId="0" borderId="37" xfId="61" applyNumberFormat="1" applyFont="1" applyBorder="1">
      <alignment vertical="center"/>
      <protection/>
    </xf>
    <xf numFmtId="0" fontId="2" fillId="0" borderId="52" xfId="61" applyFont="1" applyBorder="1">
      <alignment vertical="center"/>
      <protection/>
    </xf>
    <xf numFmtId="38" fontId="2" fillId="0" borderId="53" xfId="61" applyNumberFormat="1" applyFont="1" applyBorder="1">
      <alignment vertical="center"/>
      <protection/>
    </xf>
    <xf numFmtId="38" fontId="2" fillId="0" borderId="54" xfId="61" applyNumberFormat="1" applyFont="1" applyBorder="1">
      <alignment vertical="center"/>
      <protection/>
    </xf>
    <xf numFmtId="38" fontId="2" fillId="0" borderId="55" xfId="61" applyNumberFormat="1" applyFont="1" applyBorder="1">
      <alignment vertical="center"/>
      <protection/>
    </xf>
    <xf numFmtId="38" fontId="2" fillId="0" borderId="48" xfId="49" applyFont="1" applyBorder="1" applyAlignment="1">
      <alignment vertical="center"/>
    </xf>
    <xf numFmtId="0" fontId="2" fillId="0" borderId="56" xfId="61" applyFont="1" applyBorder="1">
      <alignment vertical="center"/>
      <protection/>
    </xf>
    <xf numFmtId="38" fontId="2" fillId="0" borderId="57" xfId="49" applyFont="1" applyBorder="1" applyAlignment="1">
      <alignment vertical="center"/>
    </xf>
    <xf numFmtId="38" fontId="2" fillId="0" borderId="33" xfId="49" applyFont="1" applyBorder="1" applyAlignment="1">
      <alignment vertical="center"/>
    </xf>
    <xf numFmtId="38" fontId="2" fillId="0" borderId="53" xfId="49" applyFont="1" applyBorder="1" applyAlignment="1">
      <alignment vertical="center"/>
    </xf>
    <xf numFmtId="38" fontId="2" fillId="0" borderId="54" xfId="49" applyFont="1" applyBorder="1" applyAlignment="1">
      <alignment vertical="center"/>
    </xf>
    <xf numFmtId="38" fontId="2" fillId="0" borderId="55" xfId="49" applyFont="1" applyBorder="1" applyAlignment="1">
      <alignment vertical="center"/>
    </xf>
    <xf numFmtId="0" fontId="2" fillId="0" borderId="58" xfId="61" applyFont="1" applyBorder="1">
      <alignment vertical="center"/>
      <protection/>
    </xf>
    <xf numFmtId="0" fontId="2" fillId="0" borderId="59" xfId="61" applyFont="1" applyBorder="1">
      <alignment vertical="center"/>
      <protection/>
    </xf>
    <xf numFmtId="0" fontId="2" fillId="0" borderId="60" xfId="61" applyFont="1" applyBorder="1">
      <alignment vertical="center"/>
      <protection/>
    </xf>
    <xf numFmtId="0" fontId="2" fillId="0" borderId="61" xfId="61" applyFont="1" applyBorder="1">
      <alignment vertical="center"/>
      <protection/>
    </xf>
    <xf numFmtId="9" fontId="2" fillId="0" borderId="46" xfId="42" applyFont="1" applyBorder="1" applyAlignment="1">
      <alignment vertical="center"/>
    </xf>
    <xf numFmtId="0" fontId="2" fillId="0" borderId="45" xfId="61" applyFont="1" applyBorder="1">
      <alignment vertical="center"/>
      <protection/>
    </xf>
    <xf numFmtId="0" fontId="2" fillId="0" borderId="62" xfId="61" applyFont="1" applyBorder="1">
      <alignment vertical="center"/>
      <protection/>
    </xf>
    <xf numFmtId="38" fontId="2" fillId="0" borderId="63" xfId="49" applyFont="1" applyBorder="1" applyAlignment="1">
      <alignment vertical="center"/>
    </xf>
    <xf numFmtId="0" fontId="0" fillId="0" borderId="0" xfId="0" applyAlignment="1" quotePrefix="1">
      <alignment/>
    </xf>
    <xf numFmtId="0" fontId="2" fillId="0" borderId="17" xfId="0" applyFont="1" applyBorder="1" applyAlignment="1">
      <alignment/>
    </xf>
    <xf numFmtId="0" fontId="2" fillId="0" borderId="64" xfId="0" applyFont="1" applyBorder="1" applyAlignment="1">
      <alignment/>
    </xf>
    <xf numFmtId="0" fontId="2" fillId="0" borderId="26" xfId="0" applyFont="1" applyBorder="1" applyAlignment="1">
      <alignment/>
    </xf>
    <xf numFmtId="0" fontId="2" fillId="0" borderId="12" xfId="0" applyFont="1" applyBorder="1" applyAlignment="1">
      <alignment/>
    </xf>
    <xf numFmtId="0" fontId="2" fillId="0" borderId="10" xfId="0" applyFont="1" applyBorder="1" applyAlignment="1">
      <alignment/>
    </xf>
    <xf numFmtId="0" fontId="2" fillId="0" borderId="0" xfId="0" applyFont="1" applyAlignment="1">
      <alignment horizontal="center"/>
    </xf>
    <xf numFmtId="186" fontId="2" fillId="0" borderId="0" xfId="0" applyNumberFormat="1" applyFont="1" applyAlignment="1">
      <alignment horizontal="centerContinuous"/>
    </xf>
    <xf numFmtId="0" fontId="2" fillId="0" borderId="0" xfId="0" applyFont="1" applyAlignment="1">
      <alignment vertical="center" textRotation="90"/>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65" xfId="0" applyFont="1" applyBorder="1" applyAlignment="1">
      <alignment/>
    </xf>
    <xf numFmtId="0" fontId="2" fillId="0" borderId="0" xfId="0" applyFont="1" applyBorder="1" applyAlignment="1">
      <alignment/>
    </xf>
    <xf numFmtId="0" fontId="2" fillId="0" borderId="66" xfId="0" applyFont="1" applyBorder="1" applyAlignment="1">
      <alignment/>
    </xf>
    <xf numFmtId="0" fontId="2" fillId="0" borderId="67" xfId="0" applyFont="1" applyBorder="1" applyAlignment="1">
      <alignment/>
    </xf>
    <xf numFmtId="0" fontId="2" fillId="0" borderId="68" xfId="0" applyFont="1" applyBorder="1" applyAlignment="1">
      <alignment/>
    </xf>
    <xf numFmtId="0" fontId="2" fillId="0" borderId="69" xfId="0" applyFont="1" applyBorder="1" applyAlignment="1">
      <alignment/>
    </xf>
    <xf numFmtId="0" fontId="2" fillId="0" borderId="25" xfId="0" applyFont="1" applyBorder="1" applyAlignment="1">
      <alignment/>
    </xf>
    <xf numFmtId="0" fontId="2" fillId="0" borderId="70" xfId="0" applyFont="1" applyBorder="1" applyAlignment="1">
      <alignment/>
    </xf>
    <xf numFmtId="0" fontId="2" fillId="0" borderId="71" xfId="0" applyFont="1" applyBorder="1" applyAlignment="1">
      <alignment/>
    </xf>
    <xf numFmtId="0" fontId="2" fillId="0" borderId="72" xfId="0" applyFont="1" applyBorder="1" applyAlignment="1">
      <alignment/>
    </xf>
    <xf numFmtId="0" fontId="2" fillId="0" borderId="73" xfId="0" applyFont="1" applyBorder="1" applyAlignment="1">
      <alignment/>
    </xf>
    <xf numFmtId="0" fontId="2" fillId="0" borderId="0" xfId="0" applyFont="1" applyAlignment="1">
      <alignment horizontal="centerContinuous"/>
    </xf>
    <xf numFmtId="187" fontId="2" fillId="0" borderId="0" xfId="0" applyNumberFormat="1" applyFont="1" applyAlignment="1">
      <alignment/>
    </xf>
    <xf numFmtId="0" fontId="2" fillId="0" borderId="29" xfId="0" applyFont="1" applyBorder="1" applyAlignment="1">
      <alignment/>
    </xf>
    <xf numFmtId="0" fontId="2" fillId="0" borderId="28" xfId="0" applyFont="1" applyBorder="1" applyAlignment="1">
      <alignment/>
    </xf>
    <xf numFmtId="40" fontId="2" fillId="0" borderId="0" xfId="49" applyNumberFormat="1"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33" borderId="77" xfId="0" applyFont="1" applyFill="1" applyBorder="1" applyAlignment="1">
      <alignment/>
    </xf>
    <xf numFmtId="0" fontId="2" fillId="33" borderId="78" xfId="0" applyFont="1" applyFill="1" applyBorder="1" applyAlignment="1">
      <alignment/>
    </xf>
    <xf numFmtId="0" fontId="2" fillId="0" borderId="79" xfId="0" applyFont="1" applyBorder="1" applyAlignment="1">
      <alignment/>
    </xf>
    <xf numFmtId="194" fontId="2" fillId="0" borderId="0" xfId="0" applyNumberFormat="1" applyFont="1" applyAlignment="1">
      <alignment horizontal="left"/>
    </xf>
    <xf numFmtId="0" fontId="2" fillId="34" borderId="80" xfId="0" applyFont="1" applyFill="1" applyBorder="1" applyAlignment="1">
      <alignment/>
    </xf>
    <xf numFmtId="186" fontId="2" fillId="0" borderId="0" xfId="0" applyNumberFormat="1" applyFont="1" applyAlignment="1">
      <alignment vertical="center" textRotation="90"/>
    </xf>
    <xf numFmtId="0" fontId="2" fillId="0" borderId="81" xfId="0" applyFont="1" applyBorder="1" applyAlignment="1">
      <alignment/>
    </xf>
    <xf numFmtId="0" fontId="2" fillId="0" borderId="82" xfId="0" applyFont="1" applyBorder="1" applyAlignment="1">
      <alignment/>
    </xf>
    <xf numFmtId="0" fontId="2" fillId="0" borderId="37" xfId="0" applyFont="1" applyBorder="1" applyAlignment="1">
      <alignment/>
    </xf>
    <xf numFmtId="0" fontId="2" fillId="0" borderId="52" xfId="0" applyFont="1" applyBorder="1" applyAlignment="1">
      <alignment/>
    </xf>
    <xf numFmtId="0" fontId="2" fillId="0" borderId="38" xfId="0" applyFont="1" applyBorder="1" applyAlignment="1">
      <alignment/>
    </xf>
    <xf numFmtId="0" fontId="2" fillId="0" borderId="40" xfId="0" applyFont="1" applyBorder="1" applyAlignment="1">
      <alignment/>
    </xf>
    <xf numFmtId="0" fontId="2" fillId="0" borderId="83" xfId="0"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18" xfId="0" applyFont="1" applyBorder="1" applyAlignment="1">
      <alignment/>
    </xf>
    <xf numFmtId="0" fontId="2" fillId="0" borderId="86" xfId="0" applyFont="1" applyBorder="1" applyAlignment="1">
      <alignment/>
    </xf>
    <xf numFmtId="0" fontId="2" fillId="0" borderId="58" xfId="0" applyFont="1" applyBorder="1" applyAlignment="1">
      <alignment/>
    </xf>
    <xf numFmtId="0" fontId="2" fillId="0" borderId="61" xfId="0" applyFont="1" applyBorder="1" applyAlignment="1">
      <alignment/>
    </xf>
    <xf numFmtId="0" fontId="2" fillId="0" borderId="60" xfId="0" applyFont="1" applyBorder="1" applyAlignment="1">
      <alignment/>
    </xf>
    <xf numFmtId="0" fontId="2" fillId="0" borderId="59" xfId="0" applyFont="1" applyBorder="1" applyAlignment="1">
      <alignment/>
    </xf>
    <xf numFmtId="0" fontId="2" fillId="0" borderId="87" xfId="0" applyFont="1" applyBorder="1" applyAlignment="1">
      <alignment/>
    </xf>
    <xf numFmtId="0" fontId="2" fillId="0" borderId="53"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47" xfId="0" applyFont="1" applyBorder="1" applyAlignment="1">
      <alignment/>
    </xf>
    <xf numFmtId="0" fontId="2" fillId="0" borderId="33"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13"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0" xfId="0" applyFont="1" applyBorder="1" applyAlignment="1">
      <alignment/>
    </xf>
    <xf numFmtId="9" fontId="2" fillId="0" borderId="83" xfId="42" applyFont="1" applyBorder="1" applyAlignment="1">
      <alignment/>
    </xf>
    <xf numFmtId="9" fontId="2" fillId="0" borderId="84" xfId="42" applyFont="1" applyBorder="1" applyAlignment="1">
      <alignment/>
    </xf>
    <xf numFmtId="9" fontId="2" fillId="0" borderId="47" xfId="42" applyFont="1" applyBorder="1" applyAlignment="1">
      <alignment/>
    </xf>
    <xf numFmtId="9" fontId="2" fillId="0" borderId="85" xfId="42" applyFont="1" applyBorder="1" applyAlignment="1">
      <alignment/>
    </xf>
    <xf numFmtId="9" fontId="2" fillId="0" borderId="48" xfId="42" applyFont="1" applyBorder="1" applyAlignment="1">
      <alignment/>
    </xf>
    <xf numFmtId="9" fontId="2" fillId="0" borderId="20" xfId="42" applyFont="1" applyBorder="1" applyAlignment="1">
      <alignment/>
    </xf>
    <xf numFmtId="38" fontId="2" fillId="0" borderId="58" xfId="49" applyFont="1" applyBorder="1" applyAlignment="1">
      <alignment/>
    </xf>
    <xf numFmtId="0" fontId="2" fillId="0" borderId="88" xfId="0" applyFont="1" applyBorder="1" applyAlignment="1">
      <alignment/>
    </xf>
    <xf numFmtId="0" fontId="2" fillId="0" borderId="89" xfId="0" applyFont="1" applyBorder="1" applyAlignment="1">
      <alignment/>
    </xf>
    <xf numFmtId="0" fontId="2" fillId="0" borderId="90" xfId="0" applyFont="1" applyBorder="1" applyAlignment="1">
      <alignment/>
    </xf>
    <xf numFmtId="0" fontId="2" fillId="0" borderId="91" xfId="0" applyFont="1" applyBorder="1" applyAlignment="1">
      <alignment/>
    </xf>
    <xf numFmtId="38" fontId="2" fillId="0" borderId="15" xfId="49" applyFont="1" applyBorder="1" applyAlignment="1">
      <alignment/>
    </xf>
    <xf numFmtId="0" fontId="2" fillId="0" borderId="92" xfId="0" applyFont="1" applyBorder="1" applyAlignment="1">
      <alignment/>
    </xf>
    <xf numFmtId="0" fontId="2" fillId="0" borderId="93" xfId="0" applyFont="1" applyBorder="1" applyAlignment="1">
      <alignment/>
    </xf>
    <xf numFmtId="0" fontId="2" fillId="0" borderId="94" xfId="0" applyFont="1" applyBorder="1" applyAlignment="1">
      <alignment/>
    </xf>
    <xf numFmtId="0" fontId="2" fillId="0" borderId="95" xfId="0" applyFont="1" applyBorder="1" applyAlignment="1">
      <alignment/>
    </xf>
    <xf numFmtId="0" fontId="2" fillId="0" borderId="96" xfId="0" applyFont="1" applyBorder="1" applyAlignment="1">
      <alignment/>
    </xf>
    <xf numFmtId="9" fontId="2" fillId="0" borderId="93" xfId="42" applyFont="1" applyBorder="1" applyAlignment="1">
      <alignment vertical="center"/>
    </xf>
    <xf numFmtId="9" fontId="2" fillId="0" borderId="94" xfId="42" applyFont="1" applyBorder="1" applyAlignment="1">
      <alignment vertical="center"/>
    </xf>
    <xf numFmtId="9" fontId="2" fillId="0" borderId="97" xfId="42" applyFont="1" applyBorder="1" applyAlignment="1">
      <alignment vertical="center"/>
    </xf>
    <xf numFmtId="0" fontId="2" fillId="0" borderId="41" xfId="0" applyFont="1" applyBorder="1" applyAlignment="1">
      <alignment/>
    </xf>
    <xf numFmtId="0" fontId="2" fillId="0" borderId="98" xfId="0" applyFont="1" applyBorder="1" applyAlignment="1">
      <alignment/>
    </xf>
    <xf numFmtId="0" fontId="2" fillId="0" borderId="99" xfId="0" applyFont="1" applyBorder="1" applyAlignment="1">
      <alignment/>
    </xf>
    <xf numFmtId="38" fontId="2" fillId="0" borderId="89" xfId="49" applyFont="1" applyBorder="1" applyAlignment="1">
      <alignment vertical="center"/>
    </xf>
    <xf numFmtId="38" fontId="2" fillId="0" borderId="100" xfId="49" applyFont="1" applyBorder="1" applyAlignment="1">
      <alignment vertical="center"/>
    </xf>
    <xf numFmtId="38" fontId="2" fillId="0" borderId="101" xfId="49" applyFont="1" applyBorder="1" applyAlignment="1">
      <alignment vertical="center"/>
    </xf>
    <xf numFmtId="9" fontId="2" fillId="34" borderId="54" xfId="42" applyFont="1" applyFill="1" applyBorder="1" applyAlignment="1">
      <alignment vertical="center"/>
    </xf>
    <xf numFmtId="9" fontId="2" fillId="34" borderId="55" xfId="42" applyFont="1" applyFill="1" applyBorder="1" applyAlignment="1">
      <alignment vertical="center"/>
    </xf>
    <xf numFmtId="9" fontId="2" fillId="34" borderId="99" xfId="42" applyFont="1" applyFill="1" applyBorder="1" applyAlignment="1">
      <alignment vertical="center"/>
    </xf>
    <xf numFmtId="0" fontId="2" fillId="0" borderId="43" xfId="0" applyFont="1" applyBorder="1" applyAlignment="1">
      <alignment/>
    </xf>
    <xf numFmtId="0" fontId="2" fillId="0" borderId="35" xfId="0" applyFont="1" applyBorder="1" applyAlignment="1">
      <alignment/>
    </xf>
    <xf numFmtId="38" fontId="2" fillId="0" borderId="90" xfId="49" applyFont="1" applyBorder="1" applyAlignment="1">
      <alignment vertical="center"/>
    </xf>
    <xf numFmtId="38" fontId="2" fillId="0" borderId="102" xfId="49" applyFont="1" applyBorder="1" applyAlignment="1">
      <alignment vertical="center"/>
    </xf>
    <xf numFmtId="38" fontId="2" fillId="0" borderId="103" xfId="49" applyFont="1" applyBorder="1" applyAlignment="1">
      <alignment vertical="center"/>
    </xf>
    <xf numFmtId="9" fontId="2" fillId="34" borderId="34" xfId="42" applyFont="1" applyFill="1" applyBorder="1" applyAlignment="1">
      <alignment vertical="center"/>
    </xf>
    <xf numFmtId="9" fontId="2" fillId="34" borderId="27" xfId="42" applyFont="1" applyFill="1" applyBorder="1" applyAlignment="1">
      <alignment vertical="center"/>
    </xf>
    <xf numFmtId="9" fontId="2" fillId="34" borderId="35" xfId="42" applyFont="1" applyFill="1" applyBorder="1" applyAlignment="1">
      <alignment vertical="center"/>
    </xf>
    <xf numFmtId="9" fontId="2" fillId="0" borderId="27" xfId="42" applyFont="1" applyBorder="1" applyAlignment="1">
      <alignment vertical="center"/>
    </xf>
    <xf numFmtId="9" fontId="2" fillId="0" borderId="34" xfId="42" applyFont="1" applyBorder="1" applyAlignment="1">
      <alignment vertical="center"/>
    </xf>
    <xf numFmtId="0" fontId="2" fillId="0" borderId="45" xfId="0" applyFont="1" applyBorder="1" applyAlignment="1">
      <alignment/>
    </xf>
    <xf numFmtId="0" fontId="2" fillId="0" borderId="62" xfId="0" applyFont="1" applyBorder="1" applyAlignment="1">
      <alignment/>
    </xf>
    <xf numFmtId="0" fontId="2" fillId="0" borderId="56" xfId="0" applyFont="1" applyBorder="1" applyAlignment="1">
      <alignment/>
    </xf>
    <xf numFmtId="38" fontId="2" fillId="0" borderId="91" xfId="49" applyFont="1" applyBorder="1" applyAlignment="1">
      <alignment vertical="center"/>
    </xf>
    <xf numFmtId="38" fontId="2" fillId="0" borderId="104" xfId="49" applyFont="1" applyBorder="1" applyAlignment="1">
      <alignment vertical="center"/>
    </xf>
    <xf numFmtId="38" fontId="2" fillId="0" borderId="105" xfId="49" applyFont="1" applyBorder="1" applyAlignment="1">
      <alignment vertical="center"/>
    </xf>
    <xf numFmtId="9" fontId="2" fillId="0" borderId="57" xfId="42" applyFont="1" applyBorder="1" applyAlignment="1">
      <alignment vertical="center"/>
    </xf>
    <xf numFmtId="9" fontId="2" fillId="0" borderId="63" xfId="42" applyFont="1" applyBorder="1" applyAlignment="1">
      <alignment vertical="center"/>
    </xf>
    <xf numFmtId="9" fontId="2" fillId="34" borderId="56" xfId="42" applyFont="1" applyFill="1" applyBorder="1" applyAlignment="1">
      <alignment vertical="center"/>
    </xf>
    <xf numFmtId="9" fontId="2" fillId="0" borderId="0" xfId="42" applyFont="1" applyAlignment="1">
      <alignment vertical="center"/>
    </xf>
    <xf numFmtId="0" fontId="2" fillId="0" borderId="21" xfId="0" applyFont="1" applyBorder="1" applyAlignment="1">
      <alignment/>
    </xf>
    <xf numFmtId="0" fontId="2" fillId="0" borderId="27" xfId="0" applyFont="1" applyBorder="1" applyAlignment="1">
      <alignment/>
    </xf>
    <xf numFmtId="0" fontId="2" fillId="0" borderId="0" xfId="0" applyFont="1" applyAlignment="1">
      <alignment horizontal="right"/>
    </xf>
    <xf numFmtId="38" fontId="2" fillId="0" borderId="32" xfId="0" applyNumberFormat="1" applyFont="1" applyBorder="1" applyAlignment="1">
      <alignment/>
    </xf>
    <xf numFmtId="38" fontId="2" fillId="0" borderId="20" xfId="0" applyNumberFormat="1" applyFont="1" applyBorder="1" applyAlignment="1">
      <alignment/>
    </xf>
    <xf numFmtId="38" fontId="2" fillId="0" borderId="32" xfId="49" applyFont="1" applyBorder="1" applyAlignment="1">
      <alignment/>
    </xf>
    <xf numFmtId="40" fontId="2" fillId="0" borderId="89" xfId="49" applyNumberFormat="1" applyFont="1" applyBorder="1" applyAlignment="1">
      <alignment/>
    </xf>
    <xf numFmtId="40" fontId="2" fillId="0" borderId="91" xfId="49" applyNumberFormat="1" applyFont="1" applyBorder="1" applyAlignment="1">
      <alignment/>
    </xf>
    <xf numFmtId="40" fontId="2" fillId="0" borderId="0" xfId="49" applyNumberFormat="1" applyFont="1" applyAlignment="1">
      <alignment/>
    </xf>
    <xf numFmtId="9" fontId="2" fillId="0" borderId="0" xfId="42" applyFont="1" applyAlignment="1">
      <alignment/>
    </xf>
    <xf numFmtId="9" fontId="2" fillId="0" borderId="0" xfId="42" applyFont="1" applyBorder="1" applyAlignment="1">
      <alignment/>
    </xf>
    <xf numFmtId="181" fontId="2" fillId="0" borderId="0" xfId="0" applyNumberFormat="1" applyFont="1" applyBorder="1" applyAlignment="1">
      <alignment/>
    </xf>
    <xf numFmtId="0" fontId="12" fillId="0" borderId="0" xfId="43" applyFont="1" applyAlignment="1" applyProtection="1">
      <alignment/>
      <protection/>
    </xf>
    <xf numFmtId="0" fontId="2" fillId="0" borderId="0" xfId="0" applyFont="1" applyAlignment="1" quotePrefix="1">
      <alignment/>
    </xf>
    <xf numFmtId="0" fontId="2" fillId="0" borderId="106" xfId="0" applyFont="1" applyBorder="1" applyAlignment="1">
      <alignment/>
    </xf>
    <xf numFmtId="0" fontId="2" fillId="0" borderId="107" xfId="0" applyFont="1" applyBorder="1" applyAlignment="1">
      <alignment/>
    </xf>
    <xf numFmtId="0" fontId="2" fillId="0" borderId="108" xfId="0" applyFont="1" applyBorder="1" applyAlignment="1">
      <alignment/>
    </xf>
    <xf numFmtId="38" fontId="2" fillId="0" borderId="109" xfId="49" applyFont="1" applyBorder="1" applyAlignment="1">
      <alignment/>
    </xf>
    <xf numFmtId="38" fontId="2" fillId="0" borderId="33" xfId="49" applyFont="1" applyBorder="1" applyAlignment="1">
      <alignment/>
    </xf>
    <xf numFmtId="38" fontId="2" fillId="0" borderId="47" xfId="49" applyFont="1" applyBorder="1" applyAlignment="1">
      <alignment/>
    </xf>
    <xf numFmtId="38" fontId="2" fillId="0" borderId="110" xfId="49" applyFont="1" applyBorder="1" applyAlignment="1">
      <alignment/>
    </xf>
    <xf numFmtId="38" fontId="2" fillId="0" borderId="31" xfId="49" applyFont="1" applyBorder="1" applyAlignment="1">
      <alignment/>
    </xf>
    <xf numFmtId="38" fontId="2" fillId="0" borderId="82" xfId="49" applyFont="1" applyBorder="1" applyAlignment="1">
      <alignment/>
    </xf>
    <xf numFmtId="38" fontId="2" fillId="0" borderId="108" xfId="49" applyFont="1" applyBorder="1" applyAlignment="1">
      <alignment/>
    </xf>
    <xf numFmtId="38" fontId="2" fillId="0" borderId="59" xfId="49" applyFont="1" applyBorder="1" applyAlignment="1">
      <alignment/>
    </xf>
    <xf numFmtId="187" fontId="2" fillId="0" borderId="32" xfId="49" applyNumberFormat="1" applyFont="1" applyBorder="1" applyAlignment="1">
      <alignment/>
    </xf>
    <xf numFmtId="187" fontId="2" fillId="0" borderId="85" xfId="49" applyNumberFormat="1" applyFont="1" applyBorder="1" applyAlignment="1">
      <alignment/>
    </xf>
    <xf numFmtId="187" fontId="2" fillId="0" borderId="20" xfId="49" applyNumberFormat="1" applyFont="1" applyBorder="1" applyAlignment="1">
      <alignment/>
    </xf>
    <xf numFmtId="0" fontId="2" fillId="0" borderId="111" xfId="0" applyFont="1" applyBorder="1" applyAlignment="1">
      <alignment/>
    </xf>
    <xf numFmtId="0" fontId="2" fillId="0" borderId="112" xfId="0" applyFont="1" applyBorder="1" applyAlignment="1">
      <alignment/>
    </xf>
    <xf numFmtId="38" fontId="2" fillId="0" borderId="0" xfId="49" applyFont="1" applyBorder="1" applyAlignment="1">
      <alignment/>
    </xf>
    <xf numFmtId="9" fontId="2" fillId="0" borderId="92" xfId="42" applyFont="1" applyBorder="1" applyAlignment="1">
      <alignment/>
    </xf>
    <xf numFmtId="9" fontId="2" fillId="0" borderId="18" xfId="42" applyFont="1" applyBorder="1" applyAlignment="1">
      <alignment/>
    </xf>
    <xf numFmtId="38" fontId="2" fillId="0" borderId="83" xfId="49" applyFont="1" applyBorder="1" applyAlignment="1">
      <alignment/>
    </xf>
    <xf numFmtId="38" fontId="2" fillId="0" borderId="48" xfId="49" applyFont="1" applyBorder="1" applyAlignment="1">
      <alignment/>
    </xf>
    <xf numFmtId="38" fontId="2" fillId="0" borderId="23" xfId="49" applyFont="1" applyBorder="1" applyAlignment="1">
      <alignment/>
    </xf>
    <xf numFmtId="0" fontId="2" fillId="0" borderId="0" xfId="0" applyFont="1" applyFill="1" applyAlignment="1">
      <alignment/>
    </xf>
    <xf numFmtId="0" fontId="4" fillId="0" borderId="0" xfId="61" applyFont="1">
      <alignment vertical="center"/>
      <protection/>
    </xf>
    <xf numFmtId="0" fontId="6" fillId="0" borderId="0" xfId="61" applyFont="1" applyAlignment="1">
      <alignment horizontal="right" vertical="center"/>
      <protection/>
    </xf>
    <xf numFmtId="0" fontId="0" fillId="0" borderId="16" xfId="61" applyFont="1" applyBorder="1">
      <alignment vertical="center"/>
      <protection/>
    </xf>
    <xf numFmtId="0" fontId="3" fillId="0" borderId="28" xfId="61" applyFont="1" applyBorder="1" applyAlignment="1">
      <alignment horizontal="left" vertical="center" wrapText="1"/>
      <protection/>
    </xf>
    <xf numFmtId="0" fontId="3" fillId="0" borderId="28"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12" xfId="61" applyFont="1" applyBorder="1" applyAlignment="1">
      <alignment horizontal="left" vertical="center"/>
      <protection/>
    </xf>
    <xf numFmtId="0" fontId="4" fillId="0" borderId="25" xfId="61" applyFont="1" applyBorder="1" applyAlignment="1">
      <alignment vertical="center" shrinkToFit="1"/>
      <protection/>
    </xf>
    <xf numFmtId="0" fontId="3" fillId="0" borderId="58" xfId="0" applyFont="1" applyBorder="1" applyAlignment="1">
      <alignment/>
    </xf>
    <xf numFmtId="0" fontId="3" fillId="0" borderId="59" xfId="0" applyFont="1" applyBorder="1" applyAlignment="1">
      <alignment/>
    </xf>
    <xf numFmtId="9" fontId="3" fillId="0" borderId="87" xfId="42" applyFont="1" applyBorder="1" applyAlignment="1">
      <alignment vertical="center"/>
    </xf>
    <xf numFmtId="0" fontId="0" fillId="0" borderId="23" xfId="0" applyBorder="1" applyAlignment="1">
      <alignment/>
    </xf>
    <xf numFmtId="9" fontId="3" fillId="0" borderId="24" xfId="42" applyFont="1" applyBorder="1" applyAlignment="1">
      <alignment/>
    </xf>
    <xf numFmtId="9" fontId="3" fillId="0" borderId="24" xfId="0" applyNumberFormat="1" applyFont="1" applyBorder="1" applyAlignment="1">
      <alignment/>
    </xf>
    <xf numFmtId="0" fontId="3" fillId="0" borderId="0" xfId="0" applyFont="1" applyFill="1" applyBorder="1" applyAlignment="1">
      <alignment/>
    </xf>
    <xf numFmtId="9" fontId="3" fillId="0" borderId="0" xfId="42" applyFont="1" applyBorder="1" applyAlignment="1">
      <alignment/>
    </xf>
    <xf numFmtId="38" fontId="3" fillId="0" borderId="0" xfId="49" applyFont="1" applyBorder="1" applyAlignment="1">
      <alignment/>
    </xf>
    <xf numFmtId="0" fontId="15" fillId="0" borderId="0" xfId="0" applyFont="1" applyAlignment="1" quotePrefix="1">
      <alignment/>
    </xf>
    <xf numFmtId="0" fontId="0" fillId="0" borderId="27" xfId="0" applyBorder="1" applyAlignment="1">
      <alignment/>
    </xf>
    <xf numFmtId="38" fontId="0" fillId="0" borderId="27" xfId="49" applyFont="1" applyBorder="1" applyAlignment="1">
      <alignment/>
    </xf>
    <xf numFmtId="38" fontId="3" fillId="0" borderId="67" xfId="49" applyFont="1" applyBorder="1" applyAlignment="1">
      <alignment vertical="center"/>
    </xf>
    <xf numFmtId="38" fontId="3" fillId="0" borderId="67" xfId="61" applyNumberFormat="1" applyFont="1" applyBorder="1">
      <alignment vertical="center"/>
      <protection/>
    </xf>
    <xf numFmtId="0" fontId="13" fillId="0" borderId="0" xfId="61" applyFont="1">
      <alignment vertical="center"/>
      <protection/>
    </xf>
    <xf numFmtId="0" fontId="2" fillId="0" borderId="64" xfId="61" applyFont="1" applyBorder="1">
      <alignment vertical="center"/>
      <protection/>
    </xf>
    <xf numFmtId="56" fontId="2" fillId="0" borderId="64" xfId="61" applyNumberFormat="1" applyFont="1" applyBorder="1" applyAlignment="1" quotePrefix="1">
      <alignment horizontal="right" vertical="center"/>
      <protection/>
    </xf>
    <xf numFmtId="56" fontId="2" fillId="0" borderId="26" xfId="61" applyNumberFormat="1" applyFont="1" applyBorder="1" applyAlignment="1" quotePrefix="1">
      <alignment horizontal="right" vertical="center"/>
      <protection/>
    </xf>
    <xf numFmtId="0" fontId="2" fillId="0" borderId="17" xfId="61" applyFont="1" applyBorder="1">
      <alignment vertical="center"/>
      <protection/>
    </xf>
    <xf numFmtId="0" fontId="0" fillId="34" borderId="0" xfId="0" applyFill="1" applyAlignment="1">
      <alignment/>
    </xf>
    <xf numFmtId="0" fontId="9" fillId="34" borderId="0" xfId="0" applyFont="1" applyFill="1" applyAlignment="1">
      <alignment/>
    </xf>
    <xf numFmtId="38" fontId="8" fillId="34" borderId="0" xfId="49" applyFont="1" applyFill="1" applyAlignment="1">
      <alignment/>
    </xf>
    <xf numFmtId="0" fontId="8" fillId="34" borderId="0" xfId="0" applyFont="1" applyFill="1" applyAlignment="1">
      <alignment/>
    </xf>
    <xf numFmtId="38" fontId="0" fillId="34" borderId="0" xfId="49" applyFont="1" applyFill="1" applyAlignment="1">
      <alignment/>
    </xf>
    <xf numFmtId="0" fontId="0" fillId="34" borderId="0" xfId="0" applyFill="1" applyAlignment="1">
      <alignment horizontal="right"/>
    </xf>
    <xf numFmtId="0" fontId="0" fillId="34" borderId="0" xfId="0" applyFill="1" applyAlignment="1">
      <alignment horizontal="left"/>
    </xf>
    <xf numFmtId="38" fontId="0" fillId="34" borderId="0" xfId="0" applyNumberFormat="1" applyFill="1" applyAlignment="1">
      <alignment/>
    </xf>
    <xf numFmtId="0" fontId="0" fillId="0" borderId="0" xfId="0" applyFill="1" applyAlignment="1">
      <alignment horizontal="right"/>
    </xf>
    <xf numFmtId="0" fontId="0" fillId="0" borderId="0" xfId="0" applyFill="1" applyAlignment="1">
      <alignment horizontal="left"/>
    </xf>
    <xf numFmtId="38" fontId="0" fillId="0" borderId="0" xfId="0" applyNumberFormat="1" applyFill="1" applyAlignment="1">
      <alignment/>
    </xf>
    <xf numFmtId="0" fontId="0" fillId="0" borderId="0" xfId="0" applyFill="1" applyAlignment="1">
      <alignment/>
    </xf>
    <xf numFmtId="0" fontId="0" fillId="0" borderId="27" xfId="61" applyFont="1" applyBorder="1">
      <alignment vertical="center"/>
      <protection/>
    </xf>
    <xf numFmtId="0" fontId="0" fillId="0" borderId="27" xfId="61" applyFont="1" applyBorder="1">
      <alignment vertical="center"/>
      <protection/>
    </xf>
    <xf numFmtId="0" fontId="16" fillId="0" borderId="27" xfId="0" applyFont="1" applyBorder="1" applyAlignment="1">
      <alignment/>
    </xf>
    <xf numFmtId="0" fontId="3" fillId="0" borderId="13" xfId="0" applyFont="1" applyFill="1" applyBorder="1" applyAlignment="1">
      <alignment/>
    </xf>
    <xf numFmtId="204" fontId="14" fillId="0" borderId="13" xfId="49" applyNumberFormat="1" applyFont="1" applyBorder="1" applyAlignment="1">
      <alignment horizontal="left" vertical="center"/>
    </xf>
    <xf numFmtId="204" fontId="14" fillId="0" borderId="23" xfId="49" applyNumberFormat="1" applyFont="1" applyBorder="1" applyAlignment="1">
      <alignment horizontal="left" vertical="center"/>
    </xf>
    <xf numFmtId="0" fontId="3" fillId="0" borderId="24" xfId="0" applyFont="1" applyBorder="1" applyAlignment="1">
      <alignment horizontal="right"/>
    </xf>
    <xf numFmtId="38" fontId="0" fillId="0" borderId="0" xfId="49" applyFont="1" applyBorder="1" applyAlignment="1">
      <alignment/>
    </xf>
    <xf numFmtId="205" fontId="14" fillId="0" borderId="24" xfId="49" applyNumberFormat="1" applyFont="1" applyBorder="1" applyAlignment="1">
      <alignment horizontal="right" vertical="center"/>
    </xf>
    <xf numFmtId="206" fontId="0" fillId="0" borderId="0" xfId="0" applyNumberFormat="1" applyFont="1" applyAlignment="1">
      <alignment/>
    </xf>
    <xf numFmtId="177" fontId="0" fillId="0" borderId="23" xfId="0" applyNumberFormat="1" applyBorder="1" applyAlignment="1">
      <alignment/>
    </xf>
    <xf numFmtId="177" fontId="2" fillId="0" borderId="0" xfId="61" applyNumberFormat="1" applyFont="1" applyBorder="1">
      <alignment vertical="center"/>
      <protection/>
    </xf>
    <xf numFmtId="0" fontId="3" fillId="0" borderId="97" xfId="61" applyFont="1" applyBorder="1">
      <alignment vertical="center"/>
      <protection/>
    </xf>
    <xf numFmtId="0" fontId="2" fillId="0" borderId="0" xfId="61" applyFont="1" applyAlignment="1">
      <alignment horizontal="left" vertical="center"/>
      <protection/>
    </xf>
    <xf numFmtId="0" fontId="0" fillId="0" borderId="25" xfId="0" applyFont="1" applyBorder="1" applyAlignment="1">
      <alignment/>
    </xf>
    <xf numFmtId="0" fontId="0" fillId="0" borderId="0" xfId="0" applyFont="1" applyAlignment="1">
      <alignment/>
    </xf>
    <xf numFmtId="0" fontId="0" fillId="0" borderId="0" xfId="0" applyFont="1" applyAlignment="1">
      <alignment/>
    </xf>
    <xf numFmtId="0" fontId="0" fillId="0" borderId="28" xfId="0" applyFont="1" applyBorder="1" applyAlignment="1">
      <alignment/>
    </xf>
    <xf numFmtId="176" fontId="0" fillId="0" borderId="0" xfId="0" applyNumberFormat="1" applyFont="1" applyAlignment="1">
      <alignment vertical="top"/>
    </xf>
    <xf numFmtId="0" fontId="3" fillId="0" borderId="28" xfId="0" applyFont="1" applyBorder="1" applyAlignment="1">
      <alignment vertical="center"/>
    </xf>
    <xf numFmtId="0" fontId="0" fillId="0" borderId="0" xfId="0" applyFont="1" applyAlignment="1">
      <alignment/>
    </xf>
    <xf numFmtId="0" fontId="0" fillId="0" borderId="28" xfId="0" applyFont="1" applyBorder="1" applyAlignment="1">
      <alignment/>
    </xf>
    <xf numFmtId="0" fontId="0" fillId="0" borderId="67" xfId="0" applyFont="1" applyBorder="1" applyAlignment="1">
      <alignment/>
    </xf>
    <xf numFmtId="0" fontId="0" fillId="0" borderId="0" xfId="0" applyFont="1" applyAlignment="1">
      <alignment wrapText="1"/>
    </xf>
    <xf numFmtId="0" fontId="20" fillId="0" borderId="0" xfId="61" applyFont="1">
      <alignment vertical="center"/>
      <protection/>
    </xf>
    <xf numFmtId="0" fontId="0" fillId="0" borderId="28" xfId="0" applyFont="1" applyBorder="1" applyAlignment="1">
      <alignment/>
    </xf>
    <xf numFmtId="0" fontId="0" fillId="0" borderId="26" xfId="0" applyFont="1" applyBorder="1" applyAlignment="1">
      <alignment wrapText="1"/>
    </xf>
    <xf numFmtId="0" fontId="0" fillId="0" borderId="29" xfId="0" applyFont="1" applyBorder="1" applyAlignment="1">
      <alignment wrapText="1"/>
    </xf>
    <xf numFmtId="0" fontId="0" fillId="0" borderId="29" xfId="0" applyFont="1" applyBorder="1" applyAlignment="1">
      <alignment wrapText="1"/>
    </xf>
    <xf numFmtId="0" fontId="13" fillId="0" borderId="29" xfId="0" applyFont="1" applyBorder="1" applyAlignment="1">
      <alignment horizontal="left" vertical="top" wrapText="1"/>
    </xf>
    <xf numFmtId="0" fontId="3" fillId="0" borderId="29" xfId="0" applyFont="1" applyBorder="1" applyAlignment="1">
      <alignment vertical="center" wrapText="1"/>
    </xf>
    <xf numFmtId="0" fontId="0" fillId="0" borderId="29" xfId="0" applyFont="1" applyBorder="1" applyAlignment="1">
      <alignment wrapText="1"/>
    </xf>
    <xf numFmtId="0" fontId="13" fillId="0" borderId="29" xfId="0" applyFont="1" applyBorder="1" applyAlignment="1">
      <alignment wrapText="1"/>
    </xf>
    <xf numFmtId="0" fontId="0" fillId="0" borderId="64" xfId="0" applyFont="1" applyBorder="1" applyAlignment="1">
      <alignment wrapText="1"/>
    </xf>
    <xf numFmtId="0" fontId="13" fillId="0" borderId="29" xfId="0" applyFont="1" applyBorder="1" applyAlignment="1">
      <alignment vertical="top" wrapText="1"/>
    </xf>
    <xf numFmtId="0" fontId="13" fillId="0" borderId="64" xfId="0" applyFont="1" applyBorder="1" applyAlignment="1">
      <alignment horizontal="left" vertical="top" wrapText="1"/>
    </xf>
    <xf numFmtId="0" fontId="0" fillId="0" borderId="25" xfId="0" applyFont="1" applyBorder="1" applyAlignment="1">
      <alignment/>
    </xf>
    <xf numFmtId="0" fontId="3" fillId="0" borderId="26" xfId="0" applyFont="1" applyBorder="1" applyAlignment="1">
      <alignment vertical="center" wrapText="1"/>
    </xf>
    <xf numFmtId="0" fontId="0" fillId="35" borderId="27" xfId="61" applyFont="1" applyFill="1" applyBorder="1" applyProtection="1">
      <alignment vertical="center"/>
      <protection locked="0"/>
    </xf>
    <xf numFmtId="0" fontId="0" fillId="0" borderId="15" xfId="0" applyFont="1" applyBorder="1" applyAlignment="1">
      <alignment/>
    </xf>
    <xf numFmtId="0" fontId="0" fillId="0" borderId="85" xfId="0" applyFont="1" applyBorder="1" applyAlignment="1">
      <alignment/>
    </xf>
    <xf numFmtId="0" fontId="0" fillId="0" borderId="15" xfId="0" applyFont="1" applyFill="1" applyBorder="1" applyAlignment="1">
      <alignment/>
    </xf>
    <xf numFmtId="0" fontId="0" fillId="0" borderId="15" xfId="61" applyFont="1" applyFill="1" applyBorder="1">
      <alignment vertical="center"/>
      <protection/>
    </xf>
    <xf numFmtId="0" fontId="0" fillId="0" borderId="85" xfId="0" applyFont="1" applyFill="1" applyBorder="1" applyAlignment="1">
      <alignment/>
    </xf>
    <xf numFmtId="0" fontId="0" fillId="0" borderId="15" xfId="61" applyFont="1" applyFill="1" applyBorder="1" applyProtection="1">
      <alignment vertical="center"/>
      <protection locked="0"/>
    </xf>
    <xf numFmtId="0" fontId="0" fillId="0" borderId="113" xfId="0" applyFont="1" applyBorder="1" applyAlignment="1">
      <alignment/>
    </xf>
    <xf numFmtId="0" fontId="0" fillId="35" borderId="27" xfId="0" applyFont="1" applyFill="1" applyBorder="1" applyAlignment="1" applyProtection="1">
      <alignment vertical="center"/>
      <protection locked="0"/>
    </xf>
    <xf numFmtId="0" fontId="13" fillId="0" borderId="28" xfId="0" applyFont="1" applyBorder="1" applyAlignment="1">
      <alignment vertical="top"/>
    </xf>
    <xf numFmtId="0" fontId="13" fillId="0" borderId="0" xfId="0" applyFont="1" applyAlignment="1">
      <alignment/>
    </xf>
    <xf numFmtId="0" fontId="13" fillId="0" borderId="28" xfId="0" applyFont="1" applyBorder="1" applyAlignment="1">
      <alignment/>
    </xf>
    <xf numFmtId="0" fontId="13" fillId="0" borderId="29" xfId="61" applyFont="1" applyBorder="1" applyAlignment="1">
      <alignment vertical="center" wrapText="1"/>
      <protection/>
    </xf>
    <xf numFmtId="0" fontId="21" fillId="0" borderId="0" xfId="61" applyFont="1">
      <alignment vertical="center"/>
      <protection/>
    </xf>
    <xf numFmtId="0" fontId="21" fillId="0" borderId="33" xfId="61" applyFont="1" applyBorder="1">
      <alignment vertical="center"/>
      <protection/>
    </xf>
    <xf numFmtId="0" fontId="21" fillId="0" borderId="32" xfId="61" applyFont="1" applyBorder="1">
      <alignment vertical="center"/>
      <protection/>
    </xf>
    <xf numFmtId="0" fontId="21" fillId="0" borderId="83" xfId="61" applyFont="1" applyBorder="1">
      <alignment vertical="center"/>
      <protection/>
    </xf>
    <xf numFmtId="0" fontId="21" fillId="0" borderId="84" xfId="61" applyFont="1" applyBorder="1">
      <alignment vertical="center"/>
      <protection/>
    </xf>
    <xf numFmtId="0" fontId="13" fillId="0" borderId="67" xfId="0" applyFont="1" applyBorder="1" applyAlignment="1">
      <alignment vertical="top"/>
    </xf>
    <xf numFmtId="0" fontId="13" fillId="0" borderId="0" xfId="0" applyFont="1" applyAlignment="1">
      <alignment vertical="top"/>
    </xf>
    <xf numFmtId="0" fontId="0" fillId="0" borderId="28" xfId="0" applyFont="1" applyBorder="1" applyAlignment="1">
      <alignment/>
    </xf>
    <xf numFmtId="0" fontId="0" fillId="0" borderId="29" xfId="0" applyFont="1" applyBorder="1" applyAlignment="1">
      <alignment wrapText="1"/>
    </xf>
    <xf numFmtId="176" fontId="7" fillId="0" borderId="0" xfId="0" applyNumberFormat="1" applyFont="1" applyAlignment="1">
      <alignment vertical="center"/>
    </xf>
    <xf numFmtId="189" fontId="24" fillId="0" borderId="99" xfId="49" applyNumberFormat="1" applyFont="1" applyBorder="1" applyAlignment="1">
      <alignment horizontal="center" vertical="center" wrapText="1" shrinkToFit="1"/>
    </xf>
    <xf numFmtId="38" fontId="2" fillId="0" borderId="58" xfId="49" applyFont="1" applyBorder="1" applyAlignment="1">
      <alignment vertical="center"/>
    </xf>
    <xf numFmtId="38" fontId="2" fillId="0" borderId="60" xfId="49" applyFont="1" applyBorder="1" applyAlignment="1">
      <alignment vertical="center"/>
    </xf>
    <xf numFmtId="207" fontId="2" fillId="0" borderId="99" xfId="42" applyNumberFormat="1" applyFont="1" applyBorder="1" applyAlignment="1">
      <alignment vertical="center"/>
    </xf>
    <xf numFmtId="207" fontId="2" fillId="0" borderId="35" xfId="42" applyNumberFormat="1" applyFont="1" applyBorder="1" applyAlignment="1">
      <alignment vertical="center"/>
    </xf>
    <xf numFmtId="207" fontId="2" fillId="0" borderId="46" xfId="42" applyNumberFormat="1" applyFont="1" applyBorder="1" applyAlignment="1">
      <alignment vertical="center"/>
    </xf>
    <xf numFmtId="207" fontId="2" fillId="0" borderId="56" xfId="42" applyNumberFormat="1" applyFont="1" applyBorder="1" applyAlignment="1">
      <alignment vertical="center"/>
    </xf>
    <xf numFmtId="0" fontId="9" fillId="0" borderId="87" xfId="0" applyFont="1" applyBorder="1" applyAlignment="1">
      <alignment/>
    </xf>
    <xf numFmtId="0" fontId="4" fillId="0" borderId="11" xfId="61" applyFont="1" applyBorder="1">
      <alignment vertical="center"/>
      <protection/>
    </xf>
    <xf numFmtId="38" fontId="3" fillId="0" borderId="0" xfId="61" applyNumberFormat="1" applyFont="1" applyBorder="1">
      <alignment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0" xfId="61" applyFont="1" applyBorder="1" applyAlignment="1">
      <alignment vertical="top" wrapText="1"/>
      <protection/>
    </xf>
    <xf numFmtId="0" fontId="2" fillId="0" borderId="0" xfId="62" applyFont="1">
      <alignment vertical="center"/>
      <protection/>
    </xf>
    <xf numFmtId="0" fontId="13" fillId="0" borderId="0" xfId="62" applyFont="1">
      <alignment vertical="center"/>
      <protection/>
    </xf>
    <xf numFmtId="0" fontId="4" fillId="0" borderId="0" xfId="62" applyFont="1">
      <alignment vertical="center"/>
      <protection/>
    </xf>
    <xf numFmtId="0" fontId="0" fillId="0" borderId="0" xfId="62" applyFont="1">
      <alignment vertical="center"/>
      <protection/>
    </xf>
    <xf numFmtId="0" fontId="0" fillId="0" borderId="25" xfId="62" applyFont="1" applyBorder="1">
      <alignment vertical="center"/>
      <protection/>
    </xf>
    <xf numFmtId="0" fontId="0" fillId="0" borderId="26" xfId="62" applyFont="1" applyBorder="1">
      <alignment vertical="center"/>
      <protection/>
    </xf>
    <xf numFmtId="0" fontId="0" fillId="0" borderId="21" xfId="62" applyFont="1" applyBorder="1">
      <alignment vertical="center"/>
      <protection/>
    </xf>
    <xf numFmtId="0" fontId="2" fillId="0" borderId="26" xfId="62" applyFont="1" applyBorder="1">
      <alignment vertical="center"/>
      <protection/>
    </xf>
    <xf numFmtId="0" fontId="0" fillId="0" borderId="28" xfId="62" applyFont="1" applyBorder="1">
      <alignment vertical="center"/>
      <protection/>
    </xf>
    <xf numFmtId="0" fontId="0" fillId="0" borderId="29" xfId="62" applyFont="1" applyBorder="1">
      <alignment vertical="center"/>
      <protection/>
    </xf>
    <xf numFmtId="0" fontId="0" fillId="0" borderId="17" xfId="62" applyFont="1" applyBorder="1">
      <alignment vertical="center"/>
      <protection/>
    </xf>
    <xf numFmtId="0" fontId="2" fillId="0" borderId="64" xfId="62" applyFont="1" applyBorder="1">
      <alignment vertical="center"/>
      <protection/>
    </xf>
    <xf numFmtId="0" fontId="0" fillId="0" borderId="67" xfId="62" applyFont="1" applyBorder="1">
      <alignment vertical="center"/>
      <protection/>
    </xf>
    <xf numFmtId="0" fontId="0" fillId="0" borderId="64" xfId="62" applyFont="1" applyBorder="1">
      <alignment vertical="center"/>
      <protection/>
    </xf>
    <xf numFmtId="38" fontId="3" fillId="0" borderId="67" xfId="62" applyNumberFormat="1" applyFont="1" applyBorder="1">
      <alignment vertical="center"/>
      <protection/>
    </xf>
    <xf numFmtId="0" fontId="2" fillId="0" borderId="0" xfId="62" applyFont="1" applyBorder="1">
      <alignment vertical="center"/>
      <protection/>
    </xf>
    <xf numFmtId="56" fontId="2" fillId="0" borderId="64" xfId="62" applyNumberFormat="1" applyFont="1" applyBorder="1" applyAlignment="1" quotePrefix="1">
      <alignment horizontal="right" vertical="center"/>
      <protection/>
    </xf>
    <xf numFmtId="56" fontId="2" fillId="0" borderId="26" xfId="62" applyNumberFormat="1" applyFont="1" applyBorder="1" applyAlignment="1" quotePrefix="1">
      <alignment horizontal="right" vertical="center"/>
      <protection/>
    </xf>
    <xf numFmtId="0" fontId="0" fillId="0" borderId="0" xfId="62" applyFont="1" applyBorder="1">
      <alignment vertical="center"/>
      <protection/>
    </xf>
    <xf numFmtId="0" fontId="2" fillId="0" borderId="21" xfId="62" applyFont="1" applyBorder="1">
      <alignment vertical="center"/>
      <protection/>
    </xf>
    <xf numFmtId="0" fontId="2" fillId="0" borderId="17" xfId="62" applyFont="1" applyBorder="1">
      <alignment vertical="center"/>
      <protection/>
    </xf>
    <xf numFmtId="38" fontId="3" fillId="0" borderId="0" xfId="62" applyNumberFormat="1" applyFont="1" applyBorder="1">
      <alignment vertical="center"/>
      <protection/>
    </xf>
    <xf numFmtId="38" fontId="0" fillId="0" borderId="0" xfId="62" applyNumberFormat="1" applyFont="1">
      <alignment vertical="center"/>
      <protection/>
    </xf>
    <xf numFmtId="56" fontId="2" fillId="0" borderId="0" xfId="62" applyNumberFormat="1" applyFont="1" applyAlignment="1" quotePrefix="1">
      <alignment horizontal="right" vertical="center"/>
      <protection/>
    </xf>
    <xf numFmtId="38" fontId="0" fillId="0" borderId="53" xfId="62" applyNumberFormat="1" applyFont="1" applyBorder="1">
      <alignment vertical="center"/>
      <protection/>
    </xf>
    <xf numFmtId="0" fontId="0" fillId="0" borderId="32" xfId="62" applyFont="1" applyBorder="1">
      <alignment vertical="center"/>
      <protection/>
    </xf>
    <xf numFmtId="38" fontId="0" fillId="0" borderId="14" xfId="62" applyNumberFormat="1" applyFont="1" applyBorder="1">
      <alignment vertical="center"/>
      <protection/>
    </xf>
    <xf numFmtId="0" fontId="0" fillId="0" borderId="85" xfId="0" applyFont="1" applyBorder="1" applyAlignment="1">
      <alignment/>
    </xf>
    <xf numFmtId="38" fontId="9" fillId="0" borderId="60" xfId="62" applyNumberFormat="1" applyFont="1" applyBorder="1">
      <alignment vertical="center"/>
      <protection/>
    </xf>
    <xf numFmtId="177" fontId="2" fillId="0" borderId="0" xfId="62" applyNumberFormat="1" applyFont="1" applyBorder="1">
      <alignment vertical="center"/>
      <protection/>
    </xf>
    <xf numFmtId="0" fontId="26" fillId="0" borderId="0" xfId="62" applyFont="1">
      <alignment vertical="center"/>
      <protection/>
    </xf>
    <xf numFmtId="0" fontId="0" fillId="0" borderId="13" xfId="62" applyFont="1" applyBorder="1">
      <alignment vertical="center"/>
      <protection/>
    </xf>
    <xf numFmtId="0" fontId="3" fillId="0" borderId="97" xfId="62" applyFont="1" applyBorder="1">
      <alignment vertical="center"/>
      <protection/>
    </xf>
    <xf numFmtId="0" fontId="2" fillId="0" borderId="0" xfId="62" applyFont="1" applyAlignment="1">
      <alignment horizontal="left" vertical="center"/>
      <protection/>
    </xf>
    <xf numFmtId="0" fontId="0" fillId="0" borderId="25" xfId="61" applyFont="1" applyBorder="1">
      <alignment vertical="center"/>
      <protection/>
    </xf>
    <xf numFmtId="0" fontId="0" fillId="0" borderId="26" xfId="61" applyFont="1" applyBorder="1">
      <alignment vertical="center"/>
      <protection/>
    </xf>
    <xf numFmtId="0" fontId="0" fillId="0" borderId="17" xfId="61" applyFont="1" applyBorder="1">
      <alignment vertical="center"/>
      <protection/>
    </xf>
    <xf numFmtId="0" fontId="0" fillId="0" borderId="67" xfId="61" applyFont="1" applyBorder="1">
      <alignment vertical="center"/>
      <protection/>
    </xf>
    <xf numFmtId="0" fontId="0" fillId="0" borderId="64" xfId="61" applyFont="1" applyBorder="1">
      <alignment vertical="center"/>
      <protection/>
    </xf>
    <xf numFmtId="38" fontId="0" fillId="0" borderId="0" xfId="61" applyNumberFormat="1" applyFont="1">
      <alignment vertical="center"/>
      <protection/>
    </xf>
    <xf numFmtId="38" fontId="0" fillId="0" borderId="53" xfId="61" applyNumberFormat="1" applyFont="1" applyBorder="1">
      <alignment vertical="center"/>
      <protection/>
    </xf>
    <xf numFmtId="0" fontId="0" fillId="0" borderId="32" xfId="61" applyFont="1" applyBorder="1">
      <alignment vertical="center"/>
      <protection/>
    </xf>
    <xf numFmtId="0" fontId="0" fillId="0" borderId="0" xfId="61" applyFont="1" applyBorder="1" applyAlignment="1">
      <alignment horizontal="left" vertical="center" wrapText="1"/>
      <protection/>
    </xf>
    <xf numFmtId="38" fontId="0" fillId="0" borderId="14" xfId="61" applyNumberFormat="1" applyFont="1" applyBorder="1">
      <alignment vertical="center"/>
      <protection/>
    </xf>
    <xf numFmtId="38" fontId="0" fillId="0" borderId="60" xfId="61" applyNumberFormat="1" applyFont="1" applyBorder="1">
      <alignment vertical="center"/>
      <protection/>
    </xf>
    <xf numFmtId="0" fontId="0" fillId="0" borderId="87" xfId="0" applyFont="1" applyBorder="1" applyAlignment="1">
      <alignment/>
    </xf>
    <xf numFmtId="0" fontId="0" fillId="0" borderId="13" xfId="61" applyFont="1" applyBorder="1">
      <alignment vertical="center"/>
      <protection/>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176" fontId="0" fillId="0" borderId="14" xfId="0" applyNumberFormat="1" applyFont="1" applyBorder="1" applyAlignment="1">
      <alignment horizontal="left" vertical="center"/>
    </xf>
    <xf numFmtId="176" fontId="0" fillId="0" borderId="16" xfId="0" applyNumberFormat="1" applyFont="1" applyBorder="1" applyAlignment="1">
      <alignment horizontal="left" vertical="center"/>
    </xf>
    <xf numFmtId="192" fontId="0" fillId="35" borderId="12" xfId="0" applyNumberFormat="1" applyFont="1" applyFill="1" applyBorder="1" applyAlignment="1">
      <alignment wrapText="1"/>
    </xf>
    <xf numFmtId="176" fontId="0" fillId="0" borderId="25" xfId="0" applyNumberFormat="1" applyFont="1" applyBorder="1" applyAlignment="1">
      <alignment horizontal="left" vertical="center"/>
    </xf>
    <xf numFmtId="176" fontId="0" fillId="0" borderId="26" xfId="0" applyNumberFormat="1" applyFont="1" applyBorder="1" applyAlignment="1">
      <alignment horizontal="left" vertical="center"/>
    </xf>
    <xf numFmtId="180" fontId="0" fillId="35" borderId="14" xfId="0" applyNumberFormat="1" applyFont="1" applyFill="1" applyBorder="1" applyAlignment="1">
      <alignment vertical="center" wrapText="1"/>
    </xf>
    <xf numFmtId="0" fontId="0" fillId="35" borderId="25" xfId="0" applyFont="1" applyFill="1" applyBorder="1" applyAlignment="1">
      <alignment vertical="center"/>
    </xf>
    <xf numFmtId="0" fontId="0" fillId="35" borderId="21" xfId="0" applyFont="1" applyFill="1" applyBorder="1" applyAlignment="1">
      <alignment vertical="center"/>
    </xf>
    <xf numFmtId="0" fontId="0" fillId="35" borderId="26" xfId="0" applyFont="1" applyFill="1" applyBorder="1" applyAlignment="1">
      <alignment vertical="center"/>
    </xf>
    <xf numFmtId="0" fontId="0" fillId="0" borderId="0" xfId="0" applyFont="1" applyAlignment="1">
      <alignment vertical="center"/>
    </xf>
    <xf numFmtId="176" fontId="0" fillId="0" borderId="27" xfId="0" applyNumberFormat="1" applyFont="1" applyBorder="1" applyAlignment="1">
      <alignment horizontal="left" vertical="center"/>
    </xf>
    <xf numFmtId="190" fontId="0" fillId="36" borderId="12" xfId="49" applyNumberFormat="1" applyFont="1" applyFill="1" applyBorder="1" applyAlignment="1">
      <alignment vertical="center" wrapText="1"/>
    </xf>
    <xf numFmtId="176" fontId="0" fillId="0" borderId="0" xfId="0" applyNumberFormat="1" applyFont="1" applyBorder="1" applyAlignment="1">
      <alignment vertical="center"/>
    </xf>
    <xf numFmtId="0" fontId="0" fillId="0" borderId="0" xfId="0" applyFont="1" applyBorder="1" applyAlignment="1">
      <alignment/>
    </xf>
    <xf numFmtId="176" fontId="0" fillId="0" borderId="27" xfId="0" applyNumberFormat="1" applyFont="1" applyBorder="1" applyAlignment="1">
      <alignment vertical="center"/>
    </xf>
    <xf numFmtId="178" fontId="0" fillId="35" borderId="27" xfId="0" applyNumberFormat="1" applyFont="1" applyFill="1" applyBorder="1" applyAlignment="1" applyProtection="1">
      <alignment horizontal="center"/>
      <protection locked="0"/>
    </xf>
    <xf numFmtId="176" fontId="0" fillId="0" borderId="12" xfId="0" applyNumberFormat="1" applyFont="1" applyBorder="1" applyAlignment="1">
      <alignment vertical="center"/>
    </xf>
    <xf numFmtId="0" fontId="0" fillId="35" borderId="12" xfId="0" applyFont="1" applyFill="1" applyBorder="1" applyAlignment="1" applyProtection="1">
      <alignment horizontal="center"/>
      <protection locked="0"/>
    </xf>
    <xf numFmtId="0" fontId="0" fillId="35" borderId="27" xfId="0" applyFont="1" applyFill="1" applyBorder="1" applyAlignment="1" applyProtection="1">
      <alignment horizontal="center"/>
      <protection locked="0"/>
    </xf>
    <xf numFmtId="0" fontId="0" fillId="35" borderId="27" xfId="0" applyFont="1" applyFill="1" applyBorder="1" applyAlignment="1">
      <alignment horizontal="center"/>
    </xf>
    <xf numFmtId="0" fontId="0" fillId="0" borderId="57" xfId="61" applyFont="1" applyBorder="1">
      <alignment vertical="center"/>
      <protection/>
    </xf>
    <xf numFmtId="0" fontId="0" fillId="0" borderId="56" xfId="61" applyFont="1" applyBorder="1">
      <alignment vertical="center"/>
      <protection/>
    </xf>
    <xf numFmtId="0" fontId="0" fillId="0" borderId="33" xfId="61" applyFont="1" applyBorder="1" applyAlignment="1">
      <alignment vertical="center"/>
      <protection/>
    </xf>
    <xf numFmtId="0" fontId="0" fillId="0" borderId="27"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26"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62"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61" xfId="61" applyFont="1" applyBorder="1">
      <alignment vertical="center"/>
      <protection/>
    </xf>
    <xf numFmtId="0" fontId="0" fillId="0" borderId="62" xfId="61" applyFont="1" applyBorder="1">
      <alignment vertical="center"/>
      <protection/>
    </xf>
    <xf numFmtId="0" fontId="0" fillId="0" borderId="98" xfId="61" applyFont="1" applyBorder="1">
      <alignment vertical="center"/>
      <protection/>
    </xf>
    <xf numFmtId="0" fontId="0" fillId="0" borderId="11" xfId="61" applyFont="1" applyBorder="1">
      <alignment vertical="center"/>
      <protection/>
    </xf>
    <xf numFmtId="0" fontId="0" fillId="0" borderId="28" xfId="61" applyFont="1" applyBorder="1" applyAlignment="1">
      <alignment vertical="center" wrapText="1"/>
      <protection/>
    </xf>
    <xf numFmtId="0" fontId="0" fillId="0" borderId="0" xfId="61" applyFont="1" applyBorder="1" applyAlignment="1" quotePrefix="1">
      <alignment vertical="top" wrapText="1"/>
      <protection/>
    </xf>
    <xf numFmtId="0" fontId="0" fillId="0" borderId="0" xfId="61" applyFont="1" applyBorder="1" applyAlignment="1">
      <alignment vertical="center" wrapText="1"/>
      <protection/>
    </xf>
    <xf numFmtId="0" fontId="0" fillId="0" borderId="17" xfId="61" applyFont="1" applyFill="1" applyBorder="1">
      <alignment vertical="center"/>
      <protection/>
    </xf>
    <xf numFmtId="0" fontId="0" fillId="0" borderId="114" xfId="61" applyFont="1" applyBorder="1">
      <alignment vertical="center"/>
      <protection/>
    </xf>
    <xf numFmtId="0" fontId="0" fillId="0" borderId="12" xfId="61" applyFont="1" applyBorder="1">
      <alignment vertical="center"/>
      <protection/>
    </xf>
    <xf numFmtId="0" fontId="0" fillId="0" borderId="115" xfId="61" applyFont="1" applyBorder="1">
      <alignment vertical="center"/>
      <protection/>
    </xf>
    <xf numFmtId="0" fontId="0" fillId="0" borderId="51" xfId="61" applyFont="1" applyBorder="1">
      <alignment vertical="center"/>
      <protection/>
    </xf>
    <xf numFmtId="0" fontId="0" fillId="0" borderId="10" xfId="61" applyFont="1" applyBorder="1">
      <alignment vertical="center"/>
      <protection/>
    </xf>
    <xf numFmtId="0" fontId="0" fillId="0" borderId="50" xfId="61" applyFont="1" applyBorder="1">
      <alignment vertical="center"/>
      <protection/>
    </xf>
    <xf numFmtId="0" fontId="0" fillId="0" borderId="0" xfId="61" applyFont="1" applyFill="1" applyBorder="1">
      <alignment vertical="center"/>
      <protection/>
    </xf>
    <xf numFmtId="0" fontId="0" fillId="0" borderId="29" xfId="61" applyFont="1" applyFill="1" applyBorder="1">
      <alignment vertical="center"/>
      <protection/>
    </xf>
    <xf numFmtId="0" fontId="0" fillId="0" borderId="17" xfId="61" applyFont="1" applyBorder="1" applyAlignment="1" quotePrefix="1">
      <alignment vertical="top" wrapText="1"/>
      <protection/>
    </xf>
    <xf numFmtId="0" fontId="0" fillId="0" borderId="17" xfId="61" applyFont="1" applyBorder="1" applyAlignment="1">
      <alignment vertical="top" wrapText="1"/>
      <protection/>
    </xf>
    <xf numFmtId="0" fontId="0" fillId="0" borderId="0" xfId="61" applyFont="1" applyAlignment="1">
      <alignment vertical="center" wrapText="1"/>
      <protection/>
    </xf>
    <xf numFmtId="0" fontId="0" fillId="0" borderId="17" xfId="61" applyFont="1" applyFill="1" applyBorder="1" applyAlignment="1">
      <alignment vertical="top" wrapText="1"/>
      <protection/>
    </xf>
    <xf numFmtId="0" fontId="0" fillId="0" borderId="0" xfId="61" applyFont="1" applyBorder="1" applyAlignment="1" quotePrefix="1">
      <alignment vertical="center" wrapText="1"/>
      <protection/>
    </xf>
    <xf numFmtId="0" fontId="0" fillId="0" borderId="17" xfId="61" applyFont="1" applyBorder="1" applyAlignment="1" quotePrefix="1">
      <alignment vertical="center" wrapText="1"/>
      <protection/>
    </xf>
    <xf numFmtId="0" fontId="0" fillId="0" borderId="15" xfId="61" applyFont="1" applyBorder="1" applyProtection="1">
      <alignment vertical="center"/>
      <protection locked="0"/>
    </xf>
    <xf numFmtId="0" fontId="0" fillId="34" borderId="28" xfId="0" applyFont="1" applyFill="1" applyBorder="1" applyAlignment="1">
      <alignment/>
    </xf>
    <xf numFmtId="0" fontId="0" fillId="34" borderId="0" xfId="0" applyFont="1" applyFill="1" applyBorder="1" applyAlignment="1">
      <alignment/>
    </xf>
    <xf numFmtId="0" fontId="0" fillId="34" borderId="29" xfId="0" applyFont="1" applyFill="1" applyBorder="1" applyAlignment="1">
      <alignment/>
    </xf>
    <xf numFmtId="0" fontId="0" fillId="0" borderId="14" xfId="61" applyFont="1" applyFill="1" applyBorder="1" applyProtection="1">
      <alignment vertical="center"/>
      <protection locked="0"/>
    </xf>
    <xf numFmtId="38" fontId="0" fillId="0" borderId="41" xfId="49" applyFont="1" applyBorder="1" applyAlignment="1">
      <alignment vertical="center"/>
    </xf>
    <xf numFmtId="38" fontId="0" fillId="0" borderId="98" xfId="49" applyFont="1" applyBorder="1" applyAlignment="1">
      <alignment vertical="center"/>
    </xf>
    <xf numFmtId="0" fontId="0" fillId="0" borderId="52" xfId="61" applyFont="1" applyBorder="1">
      <alignment vertical="center"/>
      <protection/>
    </xf>
    <xf numFmtId="0" fontId="0" fillId="34" borderId="67" xfId="0" applyFont="1" applyFill="1" applyBorder="1" applyAlignment="1">
      <alignment/>
    </xf>
    <xf numFmtId="0" fontId="0" fillId="34" borderId="17" xfId="0" applyFont="1" applyFill="1" applyBorder="1" applyAlignment="1">
      <alignment/>
    </xf>
    <xf numFmtId="0" fontId="0" fillId="34" borderId="64" xfId="0" applyFont="1" applyFill="1" applyBorder="1" applyAlignment="1">
      <alignment/>
    </xf>
    <xf numFmtId="0" fontId="0" fillId="0" borderId="58" xfId="61" applyFont="1" applyBorder="1">
      <alignment vertical="center"/>
      <protection/>
    </xf>
    <xf numFmtId="0" fontId="0" fillId="0" borderId="59" xfId="61" applyFont="1" applyBorder="1">
      <alignment vertical="center"/>
      <protection/>
    </xf>
    <xf numFmtId="0" fontId="0" fillId="0" borderId="87" xfId="61" applyFont="1" applyBorder="1">
      <alignment vertical="center"/>
      <protection/>
    </xf>
    <xf numFmtId="0" fontId="0" fillId="0" borderId="58" xfId="61" applyFont="1" applyFill="1" applyBorder="1">
      <alignment vertical="center"/>
      <protection/>
    </xf>
    <xf numFmtId="0" fontId="0" fillId="0" borderId="61" xfId="61" applyFont="1" applyFill="1" applyBorder="1">
      <alignment vertical="center"/>
      <protection/>
    </xf>
    <xf numFmtId="0" fontId="0" fillId="0" borderId="60" xfId="61" applyFont="1" applyFill="1" applyBorder="1">
      <alignment vertical="center"/>
      <protection/>
    </xf>
    <xf numFmtId="0" fontId="0" fillId="0" borderId="87" xfId="61" applyFont="1" applyFill="1" applyBorder="1">
      <alignment vertical="center"/>
      <protection/>
    </xf>
    <xf numFmtId="0" fontId="0" fillId="34" borderId="25" xfId="0" applyFont="1" applyFill="1" applyBorder="1" applyAlignment="1">
      <alignment/>
    </xf>
    <xf numFmtId="0" fontId="0" fillId="34" borderId="21" xfId="0" applyFont="1" applyFill="1" applyBorder="1" applyAlignment="1">
      <alignment/>
    </xf>
    <xf numFmtId="0" fontId="0" fillId="34" borderId="26" xfId="0" applyFont="1" applyFill="1" applyBorder="1" applyAlignment="1">
      <alignment/>
    </xf>
    <xf numFmtId="38" fontId="0" fillId="0" borderId="51" xfId="49" applyFont="1" applyBorder="1" applyAlignment="1">
      <alignment vertical="center"/>
    </xf>
    <xf numFmtId="38" fontId="0" fillId="0" borderId="10" xfId="49" applyFont="1" applyBorder="1" applyAlignment="1">
      <alignment vertical="center"/>
    </xf>
    <xf numFmtId="38" fontId="0" fillId="0" borderId="57" xfId="49" applyFont="1" applyBorder="1" applyAlignment="1">
      <alignment vertical="center"/>
    </xf>
    <xf numFmtId="0" fontId="0" fillId="0" borderId="63" xfId="61" applyFont="1" applyBorder="1">
      <alignment vertical="center"/>
      <protection/>
    </xf>
    <xf numFmtId="38" fontId="0" fillId="0" borderId="63" xfId="49" applyFont="1" applyBorder="1" applyAlignment="1">
      <alignment vertical="center"/>
    </xf>
    <xf numFmtId="0" fontId="0" fillId="0" borderId="0" xfId="61" applyFont="1" applyFill="1" applyBorder="1" applyAlignment="1" applyProtection="1">
      <alignment vertical="top" wrapText="1"/>
      <protection locked="0"/>
    </xf>
    <xf numFmtId="0" fontId="0" fillId="0" borderId="0" xfId="0" applyFont="1" applyFill="1" applyBorder="1" applyAlignment="1">
      <alignment/>
    </xf>
    <xf numFmtId="38" fontId="0" fillId="0" borderId="33" xfId="49" applyFont="1" applyBorder="1" applyAlignment="1">
      <alignment vertical="center"/>
    </xf>
    <xf numFmtId="0" fontId="0" fillId="0" borderId="30" xfId="61" applyFont="1" applyBorder="1">
      <alignment vertical="center"/>
      <protection/>
    </xf>
    <xf numFmtId="0" fontId="0" fillId="0" borderId="54" xfId="61" applyFont="1" applyBorder="1">
      <alignment vertical="center"/>
      <protection/>
    </xf>
    <xf numFmtId="0" fontId="0" fillId="0" borderId="99" xfId="61" applyFont="1" applyBorder="1">
      <alignment vertical="center"/>
      <protection/>
    </xf>
    <xf numFmtId="38" fontId="0" fillId="0" borderId="48" xfId="49" applyFont="1" applyBorder="1" applyAlignment="1">
      <alignment vertical="center"/>
    </xf>
    <xf numFmtId="38" fontId="0" fillId="0" borderId="56" xfId="49" applyFont="1" applyBorder="1" applyAlignment="1">
      <alignment vertical="center"/>
    </xf>
    <xf numFmtId="0" fontId="0" fillId="35" borderId="16" xfId="61" applyFont="1" applyFill="1" applyBorder="1" applyProtection="1">
      <alignment vertical="center"/>
      <protection locked="0"/>
    </xf>
    <xf numFmtId="0" fontId="0" fillId="0" borderId="116" xfId="61" applyFont="1" applyBorder="1">
      <alignment vertical="center"/>
      <protection/>
    </xf>
    <xf numFmtId="0" fontId="0" fillId="0" borderId="117" xfId="61" applyFont="1" applyBorder="1">
      <alignment vertical="center"/>
      <protection/>
    </xf>
    <xf numFmtId="0" fontId="0" fillId="0" borderId="118" xfId="61" applyFont="1" applyBorder="1">
      <alignment vertical="center"/>
      <protection/>
    </xf>
    <xf numFmtId="0" fontId="0" fillId="0" borderId="119" xfId="61" applyFont="1" applyBorder="1">
      <alignment vertical="center"/>
      <protection/>
    </xf>
    <xf numFmtId="0" fontId="0" fillId="0" borderId="120" xfId="61" applyFont="1" applyFill="1" applyBorder="1" applyProtection="1">
      <alignment vertical="center"/>
      <protection locked="0"/>
    </xf>
    <xf numFmtId="0" fontId="0" fillId="0" borderId="120" xfId="61" applyFont="1" applyBorder="1">
      <alignment vertical="center"/>
      <protection/>
    </xf>
    <xf numFmtId="0" fontId="0" fillId="0" borderId="121" xfId="61" applyFont="1" applyBorder="1">
      <alignment vertical="center"/>
      <protection/>
    </xf>
    <xf numFmtId="0" fontId="0" fillId="0" borderId="122" xfId="61" applyFont="1" applyBorder="1">
      <alignment vertical="center"/>
      <protection/>
    </xf>
    <xf numFmtId="0" fontId="0" fillId="0" borderId="123" xfId="61" applyFont="1" applyBorder="1">
      <alignment vertical="center"/>
      <protection/>
    </xf>
    <xf numFmtId="0" fontId="0" fillId="0" borderId="124" xfId="61" applyFont="1" applyBorder="1">
      <alignment vertical="center"/>
      <protection/>
    </xf>
    <xf numFmtId="0" fontId="0" fillId="0" borderId="17" xfId="61" applyFont="1" applyFill="1" applyBorder="1" applyProtection="1">
      <alignment vertical="center"/>
      <protection locked="0"/>
    </xf>
    <xf numFmtId="0" fontId="22" fillId="0" borderId="28" xfId="0" applyFont="1" applyBorder="1" applyAlignment="1">
      <alignment horizontal="center"/>
    </xf>
    <xf numFmtId="0" fontId="22" fillId="0" borderId="29" xfId="0" applyFont="1" applyBorder="1" applyAlignment="1">
      <alignment horizontal="center"/>
    </xf>
    <xf numFmtId="176" fontId="13" fillId="0" borderId="28" xfId="0" applyNumberFormat="1" applyFont="1" applyBorder="1" applyAlignment="1">
      <alignment vertical="top" wrapText="1"/>
    </xf>
    <xf numFmtId="176" fontId="13" fillId="0" borderId="29" xfId="0" applyNumberFormat="1" applyFont="1" applyBorder="1" applyAlignment="1">
      <alignment vertical="top" wrapText="1"/>
    </xf>
    <xf numFmtId="0" fontId="0" fillId="35" borderId="25" xfId="61" applyFont="1" applyFill="1" applyBorder="1" applyProtection="1">
      <alignment vertical="center"/>
      <protection locked="0"/>
    </xf>
    <xf numFmtId="0" fontId="0" fillId="35" borderId="67" xfId="61" applyFont="1" applyFill="1" applyBorder="1" applyProtection="1">
      <alignment vertical="center"/>
      <protection locked="0"/>
    </xf>
    <xf numFmtId="0" fontId="0" fillId="0" borderId="15" xfId="61" applyFont="1" applyBorder="1" applyAlignment="1">
      <alignment horizontal="center" vertical="center"/>
      <protection/>
    </xf>
    <xf numFmtId="0" fontId="0" fillId="0" borderId="16" xfId="61" applyFont="1" applyBorder="1" applyAlignment="1">
      <alignment horizontal="center" vertical="center"/>
      <protection/>
    </xf>
    <xf numFmtId="0" fontId="0" fillId="35" borderId="15" xfId="61" applyFont="1" applyFill="1" applyBorder="1" applyAlignment="1" applyProtection="1">
      <alignment vertical="top" wrapText="1"/>
      <protection locked="0"/>
    </xf>
    <xf numFmtId="0" fontId="0" fillId="35" borderId="16" xfId="61" applyFont="1" applyFill="1" applyBorder="1" applyAlignment="1" applyProtection="1">
      <alignment vertical="top" wrapText="1"/>
      <protection locked="0"/>
    </xf>
    <xf numFmtId="0" fontId="0" fillId="0" borderId="11" xfId="61" applyFont="1" applyBorder="1" applyAlignment="1">
      <alignment horizontal="center" vertical="center" wrapText="1" shrinkToFit="1"/>
      <protection/>
    </xf>
    <xf numFmtId="0" fontId="0" fillId="35" borderId="14" xfId="61" applyFont="1" applyFill="1" applyBorder="1" applyAlignment="1" applyProtection="1">
      <alignment vertical="top" wrapText="1"/>
      <protection locked="0"/>
    </xf>
    <xf numFmtId="0" fontId="0" fillId="0" borderId="14" xfId="61" applyFont="1" applyFill="1" applyBorder="1" applyAlignment="1" applyProtection="1">
      <alignment vertical="top" wrapText="1"/>
      <protection locked="0"/>
    </xf>
    <xf numFmtId="0" fontId="0" fillId="0" borderId="15" xfId="61" applyFont="1" applyFill="1" applyBorder="1" applyAlignment="1" applyProtection="1">
      <alignment vertical="top" wrapText="1"/>
      <protection locked="0"/>
    </xf>
    <xf numFmtId="0" fontId="0" fillId="0" borderId="16" xfId="61" applyFont="1" applyFill="1" applyBorder="1" applyAlignment="1" applyProtection="1">
      <alignment vertical="top" wrapText="1"/>
      <protection locked="0"/>
    </xf>
    <xf numFmtId="0" fontId="0" fillId="35" borderId="28" xfId="61" applyFont="1" applyFill="1" applyBorder="1" applyProtection="1">
      <alignment vertical="center"/>
      <protection locked="0"/>
    </xf>
    <xf numFmtId="0" fontId="0" fillId="0" borderId="25" xfId="61" applyFont="1" applyFill="1" applyBorder="1" applyProtection="1">
      <alignment vertical="center"/>
      <protection locked="0"/>
    </xf>
    <xf numFmtId="0" fontId="0" fillId="0" borderId="67" xfId="61" applyFont="1" applyFill="1" applyBorder="1" applyProtection="1">
      <alignment vertical="center"/>
      <protection locked="0"/>
    </xf>
    <xf numFmtId="0" fontId="0" fillId="0" borderId="14" xfId="61" applyFont="1" applyBorder="1" applyAlignment="1">
      <alignment horizontal="center" vertical="center"/>
      <protection/>
    </xf>
    <xf numFmtId="0" fontId="0" fillId="0" borderId="21" xfId="61" applyFont="1" applyBorder="1" applyAlignment="1">
      <alignment horizontal="center" vertical="center"/>
      <protection/>
    </xf>
    <xf numFmtId="0" fontId="3" fillId="0" borderId="14" xfId="61" applyFont="1" applyBorder="1" applyAlignment="1">
      <alignment vertical="center" wrapText="1"/>
      <protection/>
    </xf>
    <xf numFmtId="0" fontId="3" fillId="0" borderId="15" xfId="61" applyFont="1" applyBorder="1" applyAlignment="1">
      <alignment vertical="center" wrapText="1"/>
      <protection/>
    </xf>
    <xf numFmtId="0" fontId="3" fillId="0" borderId="16" xfId="61" applyFont="1" applyBorder="1" applyAlignment="1">
      <alignment vertical="center" wrapText="1"/>
      <protection/>
    </xf>
    <xf numFmtId="0" fontId="0" fillId="0" borderId="25" xfId="61" applyFont="1" applyFill="1" applyBorder="1" applyAlignment="1" applyProtection="1">
      <alignment vertical="top" wrapText="1"/>
      <protection locked="0"/>
    </xf>
    <xf numFmtId="0" fontId="0" fillId="0" borderId="21" xfId="61" applyFont="1" applyFill="1" applyBorder="1" applyAlignment="1" applyProtection="1">
      <alignment vertical="top" wrapText="1"/>
      <protection locked="0"/>
    </xf>
    <xf numFmtId="0" fontId="0" fillId="0" borderId="26" xfId="61" applyFont="1" applyFill="1" applyBorder="1" applyAlignment="1" applyProtection="1">
      <alignment vertical="top" wrapText="1"/>
      <protection locked="0"/>
    </xf>
    <xf numFmtId="0" fontId="0" fillId="0" borderId="67" xfId="61" applyFont="1" applyFill="1" applyBorder="1" applyAlignment="1" applyProtection="1">
      <alignment vertical="top" wrapText="1"/>
      <protection locked="0"/>
    </xf>
    <xf numFmtId="0" fontId="0" fillId="0" borderId="17" xfId="61" applyFont="1" applyFill="1" applyBorder="1" applyAlignment="1" applyProtection="1">
      <alignment vertical="top" wrapText="1"/>
      <protection locked="0"/>
    </xf>
    <xf numFmtId="0" fontId="0" fillId="0" borderId="64" xfId="61" applyFont="1" applyFill="1" applyBorder="1" applyAlignment="1" applyProtection="1">
      <alignment vertical="top" wrapText="1"/>
      <protection locked="0"/>
    </xf>
    <xf numFmtId="0" fontId="0" fillId="0" borderId="25" xfId="61" applyFont="1" applyBorder="1" applyAlignment="1">
      <alignment vertical="center" wrapText="1"/>
      <protection/>
    </xf>
    <xf numFmtId="0" fontId="0" fillId="0" borderId="21" xfId="61" applyFont="1" applyBorder="1" applyAlignment="1">
      <alignment vertical="center" wrapText="1"/>
      <protection/>
    </xf>
    <xf numFmtId="0" fontId="0" fillId="0" borderId="0" xfId="61" applyFont="1" applyBorder="1" applyAlignment="1">
      <alignment horizontal="left" vertical="top" wrapText="1"/>
      <protection/>
    </xf>
    <xf numFmtId="0" fontId="0" fillId="0" borderId="29" xfId="61" applyFont="1" applyBorder="1" applyAlignment="1">
      <alignment horizontal="left" vertical="top" wrapText="1"/>
      <protection/>
    </xf>
    <xf numFmtId="0" fontId="0" fillId="0" borderId="67" xfId="61" applyFont="1" applyBorder="1" applyAlignment="1">
      <alignment horizontal="left" vertical="center" wrapText="1"/>
      <protection/>
    </xf>
    <xf numFmtId="0" fontId="0" fillId="0" borderId="17" xfId="61" applyFont="1" applyBorder="1" applyAlignment="1">
      <alignment horizontal="left" vertical="center" wrapText="1"/>
      <protection/>
    </xf>
    <xf numFmtId="0" fontId="0" fillId="0" borderId="64" xfId="61" applyFont="1" applyBorder="1" applyAlignment="1">
      <alignment horizontal="left" vertical="center" wrapText="1"/>
      <protection/>
    </xf>
    <xf numFmtId="0" fontId="0" fillId="0" borderId="125" xfId="61" applyFont="1" applyBorder="1" applyAlignment="1">
      <alignment horizontal="left" vertical="center" wrapText="1"/>
      <protection/>
    </xf>
    <xf numFmtId="0" fontId="0" fillId="0" borderId="120" xfId="61" applyFont="1" applyBorder="1" applyAlignment="1">
      <alignment horizontal="left" vertical="center" wrapText="1"/>
      <protection/>
    </xf>
    <xf numFmtId="0" fontId="0" fillId="0" borderId="121" xfId="61" applyFont="1" applyBorder="1" applyAlignment="1">
      <alignment horizontal="left" vertical="center" wrapText="1"/>
      <protection/>
    </xf>
    <xf numFmtId="0" fontId="2" fillId="35" borderId="14" xfId="61" applyFont="1" applyFill="1" applyBorder="1" applyAlignment="1" applyProtection="1">
      <alignment horizontal="center" vertical="top" wrapText="1"/>
      <protection locked="0"/>
    </xf>
    <xf numFmtId="0" fontId="2" fillId="35" borderId="15" xfId="61" applyFont="1" applyFill="1" applyBorder="1" applyAlignment="1" applyProtection="1">
      <alignment horizontal="center" vertical="top" wrapText="1"/>
      <protection locked="0"/>
    </xf>
    <xf numFmtId="0" fontId="2" fillId="35" borderId="16" xfId="61" applyFont="1" applyFill="1" applyBorder="1" applyAlignment="1" applyProtection="1">
      <alignment horizontal="center" vertical="top" wrapText="1"/>
      <protection locked="0"/>
    </xf>
    <xf numFmtId="0" fontId="3" fillId="0" borderId="14" xfId="61" applyFont="1" applyBorder="1" applyAlignment="1">
      <alignment horizontal="left" vertical="center" wrapText="1"/>
      <protection/>
    </xf>
    <xf numFmtId="0" fontId="3" fillId="0" borderId="15" xfId="61" applyFont="1" applyBorder="1" applyAlignment="1">
      <alignment horizontal="left" vertical="center" wrapText="1"/>
      <protection/>
    </xf>
    <xf numFmtId="0" fontId="3" fillId="0" borderId="16" xfId="61" applyFont="1" applyBorder="1" applyAlignment="1">
      <alignment horizontal="left" vertical="center" wrapText="1"/>
      <protection/>
    </xf>
    <xf numFmtId="0" fontId="0" fillId="0" borderId="126" xfId="61" applyFont="1" applyBorder="1" applyAlignment="1">
      <alignment horizontal="left" vertical="center" wrapText="1"/>
      <protection/>
    </xf>
    <xf numFmtId="0" fontId="0" fillId="0" borderId="123" xfId="61" applyFont="1" applyBorder="1" applyAlignment="1">
      <alignment horizontal="left" vertical="center" wrapText="1"/>
      <protection/>
    </xf>
    <xf numFmtId="0" fontId="0" fillId="0" borderId="124" xfId="61" applyFont="1" applyBorder="1" applyAlignment="1">
      <alignment horizontal="left" vertical="center" wrapText="1"/>
      <protection/>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67" xfId="0" applyNumberFormat="1" applyFont="1" applyBorder="1" applyAlignment="1">
      <alignment horizontal="center" vertical="center"/>
    </xf>
    <xf numFmtId="176" fontId="0" fillId="0" borderId="64" xfId="0" applyNumberFormat="1" applyFont="1" applyBorder="1" applyAlignment="1">
      <alignment horizontal="center" vertical="center"/>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0" fontId="0" fillId="0" borderId="0" xfId="61" applyFont="1" applyBorder="1" applyAlignment="1">
      <alignment vertical="top" wrapText="1"/>
      <protection/>
    </xf>
    <xf numFmtId="0" fontId="0" fillId="0" borderId="29" xfId="61" applyFont="1" applyBorder="1" applyAlignment="1">
      <alignment vertical="top" wrapText="1"/>
      <protection/>
    </xf>
    <xf numFmtId="0" fontId="0" fillId="35" borderId="27" xfId="0" applyFont="1" applyFill="1" applyBorder="1" applyAlignment="1">
      <alignment/>
    </xf>
    <xf numFmtId="0" fontId="0" fillId="35" borderId="27" xfId="0" applyFont="1" applyFill="1" applyBorder="1" applyAlignment="1">
      <alignment wrapText="1"/>
    </xf>
    <xf numFmtId="0" fontId="0" fillId="0" borderId="25" xfId="0" applyFont="1" applyBorder="1" applyAlignment="1">
      <alignment horizontal="center"/>
    </xf>
    <xf numFmtId="0" fontId="0" fillId="0" borderId="21" xfId="0" applyFont="1" applyBorder="1" applyAlignment="1">
      <alignment horizontal="center"/>
    </xf>
    <xf numFmtId="201" fontId="0" fillId="0" borderId="27" xfId="0" applyNumberFormat="1" applyFont="1" applyFill="1" applyBorder="1" applyAlignment="1">
      <alignment horizontal="center" vertical="center"/>
    </xf>
    <xf numFmtId="190" fontId="0" fillId="35" borderId="27" xfId="0" applyNumberFormat="1" applyFont="1" applyFill="1" applyBorder="1" applyAlignment="1" applyProtection="1">
      <alignment shrinkToFit="1"/>
      <protection locked="0"/>
    </xf>
    <xf numFmtId="0" fontId="0" fillId="0" borderId="37" xfId="61" applyFont="1" applyBorder="1" applyAlignment="1">
      <alignment horizontal="left" vertical="center" wrapText="1"/>
      <protection/>
    </xf>
    <xf numFmtId="0" fontId="0" fillId="0" borderId="52"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0" fillId="0" borderId="18"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29" xfId="61" applyFont="1" applyBorder="1" applyAlignment="1">
      <alignment horizontal="left" vertical="center" wrapText="1"/>
      <protection/>
    </xf>
    <xf numFmtId="0" fontId="0" fillId="0" borderId="58" xfId="61" applyFont="1" applyBorder="1" applyAlignment="1">
      <alignment horizontal="left" vertical="center" wrapText="1"/>
      <protection/>
    </xf>
    <xf numFmtId="0" fontId="0" fillId="0" borderId="59" xfId="61" applyFont="1" applyBorder="1" applyAlignment="1">
      <alignment horizontal="left" vertical="center" wrapText="1"/>
      <protection/>
    </xf>
    <xf numFmtId="0" fontId="0" fillId="0" borderId="61" xfId="61" applyFont="1" applyBorder="1" applyAlignment="1">
      <alignment horizontal="left" vertical="center" wrapText="1"/>
      <protection/>
    </xf>
    <xf numFmtId="0" fontId="0" fillId="0" borderId="37" xfId="62" applyFont="1" applyBorder="1" applyAlignment="1">
      <alignment horizontal="left" vertical="center" wrapText="1"/>
      <protection/>
    </xf>
    <xf numFmtId="0" fontId="0" fillId="0" borderId="52" xfId="62" applyFont="1" applyBorder="1" applyAlignment="1">
      <alignment horizontal="left" vertical="center" wrapText="1"/>
      <protection/>
    </xf>
    <xf numFmtId="0" fontId="0" fillId="0" borderId="38" xfId="62" applyFont="1" applyBorder="1" applyAlignment="1">
      <alignment horizontal="left" vertical="center" wrapText="1"/>
      <protection/>
    </xf>
    <xf numFmtId="0" fontId="0" fillId="0" borderId="18"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29" xfId="62" applyFont="1" applyBorder="1" applyAlignment="1">
      <alignment horizontal="left" vertical="center" wrapText="1"/>
      <protection/>
    </xf>
    <xf numFmtId="0" fontId="0" fillId="0" borderId="58" xfId="62" applyFont="1" applyBorder="1" applyAlignment="1">
      <alignment horizontal="left" vertical="center" wrapText="1"/>
      <protection/>
    </xf>
    <xf numFmtId="0" fontId="0" fillId="0" borderId="59" xfId="62" applyFont="1" applyBorder="1" applyAlignment="1">
      <alignment horizontal="left" vertical="center" wrapText="1"/>
      <protection/>
    </xf>
    <xf numFmtId="0" fontId="0" fillId="0" borderId="61" xfId="62" applyFont="1" applyBorder="1" applyAlignment="1">
      <alignment horizontal="left" vertical="center" wrapText="1"/>
      <protection/>
    </xf>
    <xf numFmtId="0" fontId="3" fillId="0" borderId="47" xfId="61" applyFont="1" applyBorder="1" applyAlignment="1">
      <alignment horizontal="left" vertical="center" wrapText="1"/>
      <protection/>
    </xf>
    <xf numFmtId="0" fontId="0" fillId="0" borderId="53"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30" xfId="61" applyFont="1" applyBorder="1" applyAlignment="1">
      <alignment horizontal="center" vertical="center"/>
      <protection/>
    </xf>
    <xf numFmtId="0" fontId="3" fillId="35" borderId="14" xfId="61" applyFont="1" applyFill="1" applyBorder="1" applyAlignment="1" applyProtection="1">
      <alignment horizontal="left" vertical="center" wrapText="1"/>
      <protection locked="0"/>
    </xf>
    <xf numFmtId="0" fontId="3" fillId="35" borderId="15" xfId="61" applyFont="1" applyFill="1" applyBorder="1" applyAlignment="1" applyProtection="1">
      <alignment horizontal="left" vertical="center" wrapText="1"/>
      <protection locked="0"/>
    </xf>
    <xf numFmtId="0" fontId="3" fillId="35" borderId="16" xfId="61" applyFont="1" applyFill="1" applyBorder="1" applyAlignment="1" applyProtection="1">
      <alignment horizontal="left" vertical="center" wrapText="1"/>
      <protection locked="0"/>
    </xf>
    <xf numFmtId="0" fontId="3" fillId="35" borderId="85" xfId="61" applyFont="1" applyFill="1" applyBorder="1" applyAlignment="1" applyProtection="1">
      <alignment horizontal="left" vertical="center" wrapText="1"/>
      <protection locked="0"/>
    </xf>
    <xf numFmtId="0" fontId="3" fillId="0" borderId="51" xfId="61" applyFont="1" applyBorder="1" applyAlignment="1">
      <alignment horizontal="center" vertical="center" wrapText="1"/>
      <protection/>
    </xf>
    <xf numFmtId="0" fontId="3" fillId="0" borderId="43" xfId="61" applyFont="1" applyBorder="1" applyAlignment="1">
      <alignment horizontal="center" vertical="center" wrapText="1"/>
      <protection/>
    </xf>
    <xf numFmtId="0" fontId="3" fillId="0" borderId="114" xfId="61" applyFont="1" applyBorder="1" applyAlignment="1">
      <alignment horizontal="center" vertical="center" wrapText="1"/>
      <protection/>
    </xf>
    <xf numFmtId="0" fontId="3" fillId="35" borderId="47" xfId="61" applyFont="1" applyFill="1" applyBorder="1" applyAlignment="1" applyProtection="1">
      <alignment horizontal="left" vertical="center" wrapText="1"/>
      <protection locked="0"/>
    </xf>
    <xf numFmtId="0" fontId="3" fillId="0" borderId="22" xfId="61" applyFont="1" applyBorder="1" applyAlignment="1">
      <alignment horizontal="left" vertical="center" wrapText="1"/>
      <protection/>
    </xf>
    <xf numFmtId="0" fontId="3" fillId="0" borderId="21" xfId="61" applyFont="1" applyBorder="1" applyAlignment="1">
      <alignment horizontal="left" vertical="center" wrapText="1"/>
      <protection/>
    </xf>
    <xf numFmtId="0" fontId="3" fillId="0" borderId="113" xfId="61" applyFont="1" applyBorder="1" applyAlignment="1">
      <alignment horizontal="left" vertical="center" wrapText="1"/>
      <protection/>
    </xf>
    <xf numFmtId="0" fontId="3" fillId="0" borderId="22" xfId="61" applyFont="1" applyBorder="1" applyAlignment="1">
      <alignment horizontal="center" vertical="center" wrapText="1"/>
      <protection/>
    </xf>
    <xf numFmtId="0" fontId="3" fillId="0" borderId="18" xfId="61" applyFont="1" applyBorder="1" applyAlignment="1">
      <alignment horizontal="center" vertical="center" wrapText="1"/>
      <protection/>
    </xf>
    <xf numFmtId="0" fontId="3" fillId="0" borderId="83" xfId="61" applyFont="1" applyBorder="1" applyAlignment="1">
      <alignment horizontal="center" vertical="center" wrapText="1"/>
      <protection/>
    </xf>
    <xf numFmtId="0" fontId="3" fillId="35" borderId="48" xfId="61" applyFont="1" applyFill="1" applyBorder="1" applyAlignment="1" applyProtection="1">
      <alignment horizontal="left" vertical="center" wrapText="1"/>
      <protection locked="0"/>
    </xf>
    <xf numFmtId="0" fontId="3" fillId="35" borderId="49" xfId="61" applyFont="1" applyFill="1" applyBorder="1" applyAlignment="1" applyProtection="1">
      <alignment horizontal="left" vertical="center" wrapText="1"/>
      <protection locked="0"/>
    </xf>
    <xf numFmtId="0" fontId="3" fillId="35" borderId="20" xfId="61" applyFont="1" applyFill="1" applyBorder="1" applyAlignment="1" applyProtection="1">
      <alignment horizontal="left" vertical="center" wrapText="1"/>
      <protection locked="0"/>
    </xf>
    <xf numFmtId="204" fontId="14" fillId="0" borderId="13" xfId="49" applyNumberFormat="1" applyFont="1" applyBorder="1" applyAlignment="1">
      <alignment horizontal="left" vertical="center"/>
    </xf>
    <xf numFmtId="204" fontId="14" fillId="0" borderId="23" xfId="49" applyNumberFormat="1" applyFont="1" applyBorder="1" applyAlignment="1">
      <alignment horizontal="left" vertical="center"/>
    </xf>
    <xf numFmtId="204" fontId="14" fillId="0" borderId="24" xfId="49" applyNumberFormat="1" applyFont="1" applyBorder="1" applyAlignment="1">
      <alignment horizontal="left" vertical="center"/>
    </xf>
    <xf numFmtId="0" fontId="23" fillId="0" borderId="37" xfId="0" applyFont="1" applyBorder="1" applyAlignment="1">
      <alignment horizontal="center" vertical="center"/>
    </xf>
    <xf numFmtId="0" fontId="23" fillId="0" borderId="40" xfId="0" applyFont="1" applyBorder="1" applyAlignment="1">
      <alignment horizontal="center" vertical="center"/>
    </xf>
    <xf numFmtId="0" fontId="23" fillId="0" borderId="58" xfId="0" applyFont="1" applyBorder="1" applyAlignment="1">
      <alignment horizontal="center" vertical="center"/>
    </xf>
    <xf numFmtId="0" fontId="23" fillId="0" borderId="87" xfId="0" applyFont="1" applyBorder="1" applyAlignment="1">
      <alignment horizontal="center" vertical="center"/>
    </xf>
    <xf numFmtId="0" fontId="2" fillId="0" borderId="0" xfId="0" applyFont="1" applyAlignment="1">
      <alignment vertical="center" textRotation="90"/>
    </xf>
    <xf numFmtId="0" fontId="2" fillId="34" borderId="25"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64" xfId="0" applyFont="1" applyFill="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67" xfId="0" applyFont="1" applyBorder="1" applyAlignment="1">
      <alignment horizontal="center" vertical="center"/>
    </xf>
    <xf numFmtId="0" fontId="2" fillId="0" borderId="17"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Alignment="1">
      <alignment horizontal="center"/>
    </xf>
    <xf numFmtId="40" fontId="2" fillId="0" borderId="15" xfId="49" applyNumberFormat="1" applyFont="1" applyBorder="1" applyAlignment="1">
      <alignment/>
    </xf>
    <xf numFmtId="40" fontId="2" fillId="0" borderId="85" xfId="49" applyNumberFormat="1" applyFont="1" applyBorder="1" applyAlignment="1">
      <alignment/>
    </xf>
    <xf numFmtId="40" fontId="2" fillId="0" borderId="49" xfId="49" applyNumberFormat="1" applyFont="1" applyBorder="1" applyAlignment="1">
      <alignment/>
    </xf>
    <xf numFmtId="40" fontId="2" fillId="0" borderId="20" xfId="49" applyNumberFormat="1" applyFont="1" applyBorder="1" applyAlignment="1">
      <alignment/>
    </xf>
    <xf numFmtId="0" fontId="2" fillId="0" borderId="23" xfId="0" applyFont="1" applyBorder="1" applyAlignment="1">
      <alignment/>
    </xf>
    <xf numFmtId="0" fontId="2" fillId="0" borderId="24" xfId="0" applyFont="1" applyBorder="1" applyAlignment="1">
      <alignment/>
    </xf>
    <xf numFmtId="40" fontId="2" fillId="0" borderId="17" xfId="49" applyNumberFormat="1" applyFont="1" applyBorder="1" applyAlignment="1">
      <alignment/>
    </xf>
    <xf numFmtId="40" fontId="2" fillId="0" borderId="84" xfId="49" applyNumberFormat="1" applyFont="1" applyBorder="1" applyAlignment="1">
      <alignment/>
    </xf>
    <xf numFmtId="38" fontId="2" fillId="0" borderId="17" xfId="49" applyFont="1" applyBorder="1" applyAlignment="1">
      <alignment/>
    </xf>
    <xf numFmtId="38" fontId="2" fillId="0" borderId="15" xfId="49" applyFont="1" applyBorder="1" applyAlignment="1">
      <alignment/>
    </xf>
    <xf numFmtId="38" fontId="2" fillId="0" borderId="49" xfId="49" applyFont="1" applyBorder="1" applyAlignment="1">
      <alignment/>
    </xf>
    <xf numFmtId="9" fontId="2" fillId="0" borderId="58" xfId="42" applyFont="1" applyBorder="1" applyAlignment="1">
      <alignment/>
    </xf>
    <xf numFmtId="9" fontId="2" fillId="0" borderId="59" xfId="42" applyFont="1" applyBorder="1" applyAlignment="1">
      <alignment/>
    </xf>
    <xf numFmtId="9" fontId="2" fillId="0" borderId="87" xfId="42" applyFont="1" applyBorder="1" applyAlignment="1">
      <alignment/>
    </xf>
    <xf numFmtId="199" fontId="2" fillId="0" borderId="58" xfId="0" applyNumberFormat="1" applyFont="1" applyBorder="1" applyAlignment="1">
      <alignment/>
    </xf>
    <xf numFmtId="199" fontId="2" fillId="0" borderId="87" xfId="0" applyNumberFormat="1"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管理者M01" xfId="61"/>
    <cellStyle name="標準_管理者M01_050314施設管理チェックシート(記入例・最終版）" xfId="62"/>
    <cellStyle name="Followed Hyperlink" xfId="63"/>
    <cellStyle name="良い" xfId="64"/>
  </cellStyles>
  <dxfs count="24">
    <dxf>
      <fill>
        <patternFill>
          <bgColor indexed="43"/>
        </patternFill>
      </fill>
      <border>
        <right style="thin"/>
      </border>
    </dxf>
    <dxf>
      <fill>
        <patternFill>
          <bgColor indexed="43"/>
        </patternFill>
      </fill>
      <border>
        <right style="thin"/>
      </border>
    </dxf>
    <dxf>
      <fill>
        <patternFill>
          <bgColor indexed="43"/>
        </patternFill>
      </fill>
      <border>
        <right style="thin"/>
      </border>
    </dxf>
    <dxf>
      <fill>
        <patternFill>
          <bgColor indexed="43"/>
        </patternFill>
      </fill>
      <border>
        <right style="thin"/>
      </border>
    </dxf>
    <dxf>
      <border>
        <left/>
      </border>
    </dxf>
    <dxf>
      <border>
        <left/>
      </border>
    </dxf>
    <dxf>
      <border>
        <left/>
      </border>
    </dxf>
    <dxf>
      <border>
        <left/>
      </border>
    </dxf>
    <dxf>
      <fill>
        <patternFill patternType="none">
          <bgColor indexed="65"/>
        </patternFill>
      </fill>
    </dxf>
    <dxf>
      <border>
        <left style="thin"/>
      </border>
    </dxf>
    <dxf>
      <border>
        <left style="thin"/>
      </border>
    </dxf>
    <dxf>
      <fill>
        <patternFill>
          <bgColor indexed="43"/>
        </patternFill>
      </fill>
    </dxf>
    <dxf>
      <font>
        <color auto="1"/>
      </font>
      <fill>
        <patternFill>
          <bgColor indexed="43"/>
        </patternFill>
      </fill>
      <border>
        <right style="thin"/>
      </border>
    </dxf>
    <dxf>
      <fill>
        <patternFill>
          <bgColor indexed="43"/>
        </patternFill>
      </fill>
      <border>
        <top style="thin"/>
      </border>
    </dxf>
    <dxf>
      <fill>
        <patternFill>
          <bgColor indexed="43"/>
        </patternFill>
      </fill>
    </dxf>
    <dxf>
      <border>
        <bottom style="thin"/>
      </border>
    </dxf>
    <dxf>
      <border>
        <bottom style="thin"/>
      </border>
    </dxf>
    <dxf>
      <fill>
        <patternFill>
          <bgColor indexed="43"/>
        </patternFill>
      </fill>
      <border>
        <top style="thin"/>
      </border>
    </dxf>
    <dxf>
      <font>
        <color auto="1"/>
      </font>
      <fill>
        <patternFill>
          <bgColor indexed="43"/>
        </patternFill>
      </fill>
      <border>
        <left style="thin"/>
        <right style="thin"/>
        <top style="thin"/>
        <bottom style="thin"/>
      </border>
    </dxf>
    <dxf>
      <font>
        <color auto="1"/>
      </font>
      <fill>
        <patternFill>
          <bgColor rgb="FFFFFF99"/>
        </patternFill>
      </fill>
      <border>
        <left style="thin">
          <color rgb="FF000000"/>
        </left>
        <right style="thin">
          <color rgb="FF000000"/>
        </right>
        <top style="thin"/>
        <bottom style="thin">
          <color rgb="FF000000"/>
        </bottom>
      </border>
    </dxf>
    <dxf>
      <fill>
        <patternFill>
          <bgColor rgb="FFFFFF99"/>
        </patternFill>
      </fill>
      <border>
        <top style="thin">
          <color rgb="FF000000"/>
        </top>
      </border>
    </dxf>
    <dxf>
      <border>
        <bottom style="thin">
          <color rgb="FF000000"/>
        </bottom>
      </border>
    </dxf>
    <dxf>
      <font>
        <color auto="1"/>
      </font>
      <fill>
        <patternFill>
          <bgColor rgb="FFFFFF99"/>
        </patternFill>
      </fill>
      <border>
        <right style="thin">
          <color rgb="FF000000"/>
        </right>
      </border>
    </dxf>
    <dxf>
      <border>
        <left style="thin">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75"/>
          <c:y val="0.14825"/>
          <c:w val="0.4375"/>
          <c:h val="0.78975"/>
        </c:manualLayout>
      </c:layout>
      <c:radarChart>
        <c:radarStyle val="marker"/>
        <c:varyColors val="0"/>
        <c:ser>
          <c:idx val="0"/>
          <c:order val="0"/>
          <c:tx>
            <c:strRef>
              <c:f>'質問'!$AA$179</c:f>
              <c:strCache>
                <c:ptCount val="1"/>
                <c:pt idx="0">
                  <c:v>現在のあなたの施設の省エネ運用度 79点</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'質問'!$N$181:$N$186</c:f>
            </c:strRef>
          </c:cat>
          <c:val>
            <c:numRef>
              <c:f>'質問'!$AA$181:$AA$186</c:f>
            </c:numRef>
          </c:val>
        </c:ser>
        <c:axId val="15386632"/>
        <c:axId val="4261961"/>
      </c:radarChart>
      <c:catAx>
        <c:axId val="153866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261961"/>
        <c:crosses val="autoZero"/>
        <c:auto val="0"/>
        <c:lblOffset val="100"/>
        <c:tickLblSkip val="1"/>
        <c:noMultiLvlLbl val="0"/>
      </c:catAx>
      <c:valAx>
        <c:axId val="4261961"/>
        <c:scaling>
          <c:orientation val="minMax"/>
          <c:max val="1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386632"/>
        <c:crossesAt val="1"/>
        <c:crossBetween val="between"/>
        <c:dispUnits/>
        <c:majorUnit val="20"/>
      </c:valAx>
      <c:spPr>
        <a:noFill/>
        <a:ln>
          <a:noFill/>
        </a:ln>
      </c:spPr>
    </c:plotArea>
    <c:legend>
      <c:legendPos val="r"/>
      <c:layout>
        <c:manualLayout>
          <c:xMode val="edge"/>
          <c:yMode val="edge"/>
          <c:x val="0.22125"/>
          <c:y val="0"/>
          <c:w val="0.53"/>
          <c:h val="0.0712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75"/>
          <c:y val="0.14825"/>
          <c:w val="0.4375"/>
          <c:h val="0.78975"/>
        </c:manualLayout>
      </c:layout>
      <c:radarChart>
        <c:radarStyle val="marker"/>
        <c:varyColors val="0"/>
        <c:ser>
          <c:idx val="0"/>
          <c:order val="0"/>
          <c:tx>
            <c:strRef>
              <c:f>'質問'!$AA$179</c:f>
              <c:strCache>
                <c:ptCount val="1"/>
                <c:pt idx="0">
                  <c:v>現在のあなたの施設の省エネ運用度 79点</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'質問'!$N$181:$N$186</c:f>
            </c:strRef>
          </c:cat>
          <c:val>
            <c:numRef>
              <c:f>'質問'!$AA$181:$AA$186</c:f>
            </c:numRef>
          </c:val>
        </c:ser>
        <c:axId val="38357650"/>
        <c:axId val="9674531"/>
      </c:radarChart>
      <c:catAx>
        <c:axId val="3835765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9674531"/>
        <c:crosses val="autoZero"/>
        <c:auto val="0"/>
        <c:lblOffset val="100"/>
        <c:tickLblSkip val="1"/>
        <c:noMultiLvlLbl val="0"/>
      </c:catAx>
      <c:valAx>
        <c:axId val="9674531"/>
        <c:scaling>
          <c:orientation val="minMax"/>
          <c:max val="1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357650"/>
        <c:crossesAt val="1"/>
        <c:crossBetween val="between"/>
        <c:dispUnits/>
        <c:majorUnit val="20"/>
      </c:valAx>
      <c:spPr>
        <a:noFill/>
        <a:ln>
          <a:noFill/>
        </a:ln>
      </c:spPr>
    </c:plotArea>
    <c:legend>
      <c:legendPos val="r"/>
      <c:layout>
        <c:manualLayout>
          <c:xMode val="edge"/>
          <c:yMode val="edge"/>
          <c:x val="0.22125"/>
          <c:y val="0"/>
          <c:w val="0.53"/>
          <c:h val="0.0712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職員エリア</a:t>
            </a:r>
          </a:p>
        </c:rich>
      </c:tx>
      <c:layout>
        <c:manualLayout>
          <c:xMode val="factor"/>
          <c:yMode val="factor"/>
          <c:x val="0.00175"/>
          <c:y val="0"/>
        </c:manualLayout>
      </c:layout>
      <c:spPr>
        <a:noFill/>
        <a:ln>
          <a:noFill/>
        </a:ln>
      </c:spPr>
    </c:title>
    <c:plotArea>
      <c:layout>
        <c:manualLayout>
          <c:xMode val="edge"/>
          <c:yMode val="edge"/>
          <c:x val="0.01775"/>
          <c:y val="0.13975"/>
          <c:w val="0.9645"/>
          <c:h val="0.74425"/>
        </c:manualLayout>
      </c:layout>
      <c:barChart>
        <c:barDir val="col"/>
        <c:grouping val="clustered"/>
        <c:varyColors val="0"/>
        <c:ser>
          <c:idx val="9"/>
          <c:order val="9"/>
          <c:tx>
            <c:strRef>
              <c:f>'質問'!$N$179</c:f>
              <c:strCache>
                <c:ptCount val="1"/>
                <c:pt idx="0">
                  <c:v>合計</c:v>
                </c:pt>
              </c:strCache>
            </c:strRef>
          </c:tx>
          <c:spPr>
            <a:gradFill rotWithShape="1">
              <a:gsLst>
                <a:gs pos="0">
                  <a:srgbClr val="FF00FF"/>
                </a:gs>
                <a:gs pos="50000">
                  <a:srgbClr val="760076"/>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quot;点&quot;" sourceLinked="0"/>
            <c:spPr>
              <a:solidFill>
                <a:srgbClr val="FFFFFF"/>
              </a:solidFill>
              <a:ln w="3175">
                <a:solidFill>
                  <a:srgbClr val="000000"/>
                </a:solidFill>
              </a:ln>
            </c:spPr>
            <c:txPr>
              <a:bodyPr vert="horz" rot="0" anchor="ctr"/>
              <a:lstStyle/>
              <a:p>
                <a:pPr algn="ctr">
                  <a:defRPr lang="en-US" cap="none" sz="13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('質問'!$O$178,'質問'!$Q$178)</c:f>
            </c:strRef>
          </c:cat>
          <c:val>
            <c:numRef>
              <c:f>('質問'!$O$179,'質問'!$Q$179)</c:f>
            </c:numRef>
          </c:val>
        </c:ser>
        <c:axId val="19961916"/>
        <c:axId val="45439517"/>
      </c:barChart>
      <c:barChart>
        <c:barDir val="col"/>
        <c:grouping val="clustered"/>
        <c:varyColors val="0"/>
        <c:ser>
          <c:idx val="0"/>
          <c:order val="0"/>
          <c:tx>
            <c:strRef>
              <c:f>'質問'!$N$181</c:f>
              <c:strCache>
                <c:ptCount val="1"/>
                <c:pt idx="0">
                  <c:v>照明</c:v>
                </c:pt>
              </c:strCache>
            </c:strRef>
          </c:tx>
          <c:spPr>
            <a:gradFill rotWithShape="1">
              <a:gsLst>
                <a:gs pos="0">
                  <a:srgbClr val="9999FF"/>
                </a:gs>
                <a:gs pos="50000">
                  <a:srgbClr val="474776"/>
                </a:gs>
                <a:gs pos="100000">
                  <a:srgbClr val="9999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('質問'!$O$181,'質問'!$Q$181)</c:f>
            </c:numRef>
          </c:val>
        </c:ser>
        <c:ser>
          <c:idx val="1"/>
          <c:order val="1"/>
          <c:tx>
            <c:strRef>
              <c:f>'質問'!$N$182</c:f>
              <c:strCache>
                <c:ptCount val="1"/>
                <c:pt idx="0">
                  <c:v>空調</c:v>
                </c:pt>
              </c:strCache>
            </c:strRef>
          </c:tx>
          <c:spPr>
            <a:gradFill rotWithShape="1">
              <a:gsLst>
                <a:gs pos="0">
                  <a:srgbClr val="993366"/>
                </a:gs>
                <a:gs pos="50000">
                  <a:srgbClr val="47182F"/>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('質問'!$O$182,'質問'!$Q$182)</c:f>
            </c:numRef>
          </c:val>
        </c:ser>
        <c:ser>
          <c:idx val="2"/>
          <c:order val="2"/>
          <c:tx>
            <c:strRef>
              <c:f>'質問'!$N$183</c:f>
              <c:strCache>
                <c:ptCount val="1"/>
                <c:pt idx="0">
                  <c:v>利用者</c:v>
                </c:pt>
              </c:strCache>
            </c:strRef>
          </c:tx>
          <c:spPr>
            <a:gradFill rotWithShape="1">
              <a:gsLst>
                <a:gs pos="0">
                  <a:srgbClr val="FFFFCC"/>
                </a:gs>
                <a:gs pos="50000">
                  <a:srgbClr val="76765E"/>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('質問'!$O$183,'質問'!$Q$183)</c:f>
            </c:numRef>
          </c:val>
        </c:ser>
        <c:ser>
          <c:idx val="3"/>
          <c:order val="3"/>
          <c:tx>
            <c:v>質問!#REF!</c:v>
          </c:tx>
          <c:spPr>
            <a:gradFill rotWithShape="1">
              <a:gsLst>
                <a:gs pos="0">
                  <a:srgbClr val="CCFFFF"/>
                </a:gs>
                <a:gs pos="50000">
                  <a:srgbClr val="5E7676"/>
                </a:gs>
                <a:gs pos="100000">
                  <a:srgbClr val="CCFF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(質問!#REF!,質問!#REF!)</c:f>
              <c:numCache>
                <c:ptCount val="1"/>
                <c:pt idx="0">
                  <c:v>1</c:v>
                </c:pt>
              </c:numCache>
            </c:numRef>
          </c:val>
        </c:ser>
        <c:ser>
          <c:idx val="4"/>
          <c:order val="4"/>
          <c:tx>
            <c:v>質問!#REF!</c:v>
          </c:tx>
          <c:spPr>
            <a:gradFill rotWithShape="1">
              <a:gsLst>
                <a:gs pos="0">
                  <a:srgbClr val="660066"/>
                </a:gs>
                <a:gs pos="50000">
                  <a:srgbClr val="2F002F"/>
                </a:gs>
                <a:gs pos="100000">
                  <a:srgbClr val="6600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(質問!#REF!,質問!#REF!)</c:f>
              <c:numCache>
                <c:ptCount val="1"/>
                <c:pt idx="0">
                  <c:v>1</c:v>
                </c:pt>
              </c:numCache>
            </c:numRef>
          </c:val>
        </c:ser>
        <c:ser>
          <c:idx val="5"/>
          <c:order val="5"/>
          <c:tx>
            <c:strRef>
              <c:f>'質問'!$N$184</c:f>
              <c:strCache>
                <c:ptCount val="1"/>
                <c:pt idx="0">
                  <c:v>省エネ機器</c:v>
                </c:pt>
              </c:strCache>
            </c:strRef>
          </c:tx>
          <c:spPr>
            <a:gradFill rotWithShape="1">
              <a:gsLst>
                <a:gs pos="0">
                  <a:srgbClr val="FF8080"/>
                </a:gs>
                <a:gs pos="5000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('質問'!$O$184,'質問'!$Q$184)</c:f>
            </c:numRef>
          </c:val>
        </c:ser>
        <c:ser>
          <c:idx val="6"/>
          <c:order val="6"/>
          <c:tx>
            <c:strRef>
              <c:f>'質問'!$N$186</c:f>
              <c:strCache>
                <c:ptCount val="1"/>
                <c:pt idx="0">
                  <c:v>保全</c:v>
                </c:pt>
              </c:strCache>
            </c:strRef>
          </c:tx>
          <c:spPr>
            <a:gradFill rotWithShape="1">
              <a:gsLst>
                <a:gs pos="0">
                  <a:srgbClr val="0066CC"/>
                </a:gs>
                <a:gs pos="50000">
                  <a:srgbClr val="002F5E"/>
                </a:gs>
                <a:gs pos="100000">
                  <a:srgbClr val="0066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('質問'!$O$186,'質問'!$Q$186)</c:f>
            </c:numRef>
          </c:val>
        </c:ser>
        <c:ser>
          <c:idx val="7"/>
          <c:order val="7"/>
          <c:tx>
            <c:strRef>
              <c:f>'質問'!$N$185</c:f>
              <c:strCache>
                <c:ptCount val="1"/>
                <c:pt idx="0">
                  <c:v>啓発活動</c:v>
                </c:pt>
              </c:strCache>
            </c:strRef>
          </c:tx>
          <c:spPr>
            <a:gradFill rotWithShape="1">
              <a:gsLst>
                <a:gs pos="0">
                  <a:srgbClr val="CCCCFF"/>
                </a:gs>
                <a:gs pos="50000">
                  <a:srgbClr val="5E5E76"/>
                </a:gs>
                <a:gs pos="100000">
                  <a:srgbClr val="CCCC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('質問'!$O$185,'質問'!$Q$185)</c:f>
            </c:numRef>
          </c:val>
        </c:ser>
        <c:ser>
          <c:idx val="8"/>
          <c:order val="8"/>
          <c:tx>
            <c:strRef>
              <c:f>'質問'!$N$187</c:f>
              <c:strCache>
                <c:ptCount val="1"/>
                <c:pt idx="0">
                  <c:v>その他</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('質問'!$O$178,'質問'!$Q$178)</c:f>
            </c:strRef>
          </c:cat>
          <c:val>
            <c:numRef>
              <c:f>('質問'!$O$187,'質問'!$Q$187)</c:f>
            </c:numRef>
          </c:val>
        </c:ser>
        <c:axId val="6302470"/>
        <c:axId val="56722231"/>
      </c:barChart>
      <c:catAx>
        <c:axId val="199619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45439517"/>
        <c:crosses val="autoZero"/>
        <c:auto val="1"/>
        <c:lblOffset val="100"/>
        <c:tickLblSkip val="1"/>
        <c:noMultiLvlLbl val="0"/>
      </c:catAx>
      <c:valAx>
        <c:axId val="45439517"/>
        <c:scaling>
          <c:orientation val="minMax"/>
          <c:max val="100"/>
          <c:min val="0"/>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crossAx val="19961916"/>
        <c:crossesAt val="1"/>
        <c:crossBetween val="between"/>
        <c:dispUnits/>
      </c:valAx>
      <c:catAx>
        <c:axId val="6302470"/>
        <c:scaling>
          <c:orientation val="minMax"/>
        </c:scaling>
        <c:axPos val="b"/>
        <c:delete val="1"/>
        <c:majorTickMark val="out"/>
        <c:minorTickMark val="none"/>
        <c:tickLblPos val="nextTo"/>
        <c:crossAx val="56722231"/>
        <c:crosses val="autoZero"/>
        <c:auto val="1"/>
        <c:lblOffset val="100"/>
        <c:tickLblSkip val="1"/>
        <c:noMultiLvlLbl val="0"/>
      </c:catAx>
      <c:valAx>
        <c:axId val="56722231"/>
        <c:scaling>
          <c:orientation val="minMax"/>
          <c:max val="100"/>
          <c:min val="0"/>
        </c:scaling>
        <c:axPos val="l"/>
        <c:delete val="0"/>
        <c:numFmt formatCode="General" sourceLinked="1"/>
        <c:majorTickMark val="in"/>
        <c:minorTickMark val="none"/>
        <c:tickLblPos val="none"/>
        <c:spPr>
          <a:ln w="3175">
            <a:solidFill>
              <a:srgbClr val="000000"/>
            </a:solidFill>
          </a:ln>
        </c:spPr>
        <c:crossAx val="6302470"/>
        <c:crosses val="max"/>
        <c:crossBetween val="between"/>
        <c:dispUnits/>
      </c:valAx>
      <c:spPr>
        <a:noFill/>
        <a:ln w="3175">
          <a:solidFill>
            <a:srgbClr val="000000"/>
          </a:solidFill>
        </a:ln>
      </c:spPr>
    </c:plotArea>
    <c:legend>
      <c:legendPos val="b"/>
      <c:layout>
        <c:manualLayout>
          <c:xMode val="edge"/>
          <c:yMode val="edge"/>
          <c:x val="0.046"/>
          <c:y val="0.9215"/>
          <c:w val="0.906"/>
          <c:h val="0.064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来庁者エリア</a:t>
            </a:r>
          </a:p>
        </c:rich>
      </c:tx>
      <c:layout>
        <c:manualLayout>
          <c:xMode val="factor"/>
          <c:yMode val="factor"/>
          <c:x val="0.00175"/>
          <c:y val="0"/>
        </c:manualLayout>
      </c:layout>
      <c:spPr>
        <a:noFill/>
        <a:ln>
          <a:noFill/>
        </a:ln>
      </c:spPr>
    </c:title>
    <c:plotArea>
      <c:layout>
        <c:manualLayout>
          <c:xMode val="edge"/>
          <c:yMode val="edge"/>
          <c:x val="0.01775"/>
          <c:y val="0.1405"/>
          <c:w val="0.9645"/>
          <c:h val="0.7435"/>
        </c:manualLayout>
      </c:layout>
      <c:barChart>
        <c:barDir val="col"/>
        <c:grouping val="clustered"/>
        <c:varyColors val="0"/>
        <c:ser>
          <c:idx val="9"/>
          <c:order val="6"/>
          <c:tx>
            <c:strRef>
              <c:f>'質問'!$N$179</c:f>
              <c:strCache>
                <c:ptCount val="1"/>
                <c:pt idx="0">
                  <c:v>合計</c:v>
                </c:pt>
              </c:strCache>
            </c:strRef>
          </c:tx>
          <c:spPr>
            <a:gradFill rotWithShape="1">
              <a:gsLst>
                <a:gs pos="0">
                  <a:srgbClr val="FF00FF"/>
                </a:gs>
                <a:gs pos="50000">
                  <a:srgbClr val="760076"/>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quot;点&quot;" sourceLinked="0"/>
            <c:spPr>
              <a:solidFill>
                <a:srgbClr val="FFFFFF"/>
              </a:solidFill>
              <a:ln w="3175">
                <a:solidFill>
                  <a:srgbClr val="000000"/>
                </a:solidFill>
              </a:ln>
            </c:spPr>
            <c:txPr>
              <a:bodyPr vert="horz" rot="0" anchor="ctr"/>
              <a:lstStyle/>
              <a:p>
                <a:pPr algn="ctr">
                  <a:defRPr lang="en-US" cap="none" sz="13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('質問'!$O$178,'質問'!$Q$178)</c:f>
            </c:strRef>
          </c:cat>
          <c:val>
            <c:numRef>
              <c:f>('質問'!$T$179,'質問'!$V$179)</c:f>
            </c:numRef>
          </c:val>
        </c:ser>
        <c:axId val="40738032"/>
        <c:axId val="31097969"/>
      </c:barChart>
      <c:barChart>
        <c:barDir val="col"/>
        <c:grouping val="clustered"/>
        <c:varyColors val="0"/>
        <c:ser>
          <c:idx val="0"/>
          <c:order val="0"/>
          <c:tx>
            <c:strRef>
              <c:f>'質問'!$N$181</c:f>
              <c:strCache>
                <c:ptCount val="1"/>
                <c:pt idx="0">
                  <c:v>照明</c:v>
                </c:pt>
              </c:strCache>
            </c:strRef>
          </c:tx>
          <c:spPr>
            <a:gradFill rotWithShape="1">
              <a:gsLst>
                <a:gs pos="0">
                  <a:srgbClr val="9999FF"/>
                </a:gs>
                <a:gs pos="50000">
                  <a:srgbClr val="474776"/>
                </a:gs>
                <a:gs pos="100000">
                  <a:srgbClr val="9999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('質問'!$T$181,'質問'!$V$181)</c:f>
            </c:numRef>
          </c:val>
        </c:ser>
        <c:ser>
          <c:idx val="1"/>
          <c:order val="1"/>
          <c:tx>
            <c:strRef>
              <c:f>'質問'!$N$182</c:f>
              <c:strCache>
                <c:ptCount val="1"/>
                <c:pt idx="0">
                  <c:v>空調</c:v>
                </c:pt>
              </c:strCache>
            </c:strRef>
          </c:tx>
          <c:spPr>
            <a:gradFill rotWithShape="1">
              <a:gsLst>
                <a:gs pos="0">
                  <a:srgbClr val="993366"/>
                </a:gs>
                <a:gs pos="50000">
                  <a:srgbClr val="47182F"/>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('質問'!$T$182,'質問'!$V$182)</c:f>
            </c:numRef>
          </c:val>
        </c:ser>
        <c:ser>
          <c:idx val="2"/>
          <c:order val="2"/>
          <c:tx>
            <c:strRef>
              <c:f>'質問'!$N$183</c:f>
              <c:strCache>
                <c:ptCount val="1"/>
                <c:pt idx="0">
                  <c:v>利用者</c:v>
                </c:pt>
              </c:strCache>
            </c:strRef>
          </c:tx>
          <c:spPr>
            <a:gradFill rotWithShape="1">
              <a:gsLst>
                <a:gs pos="0">
                  <a:srgbClr val="FFFFCC"/>
                </a:gs>
                <a:gs pos="50000">
                  <a:srgbClr val="76765E"/>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('質問'!$T$183,'質問'!$V$183)</c:f>
            </c:numRef>
          </c:val>
        </c:ser>
        <c:ser>
          <c:idx val="3"/>
          <c:order val="3"/>
          <c:tx>
            <c:v>質問!#REF!</c:v>
          </c:tx>
          <c:spPr>
            <a:gradFill rotWithShape="1">
              <a:gsLst>
                <a:gs pos="0">
                  <a:srgbClr val="CCFFFF"/>
                </a:gs>
                <a:gs pos="50000">
                  <a:srgbClr val="5E7676"/>
                </a:gs>
                <a:gs pos="100000">
                  <a:srgbClr val="CCFF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(質問!#REF!,質問!#REF!)</c:f>
              <c:numCache>
                <c:ptCount val="1"/>
                <c:pt idx="0">
                  <c:v>1</c:v>
                </c:pt>
              </c:numCache>
            </c:numRef>
          </c:val>
        </c:ser>
        <c:ser>
          <c:idx val="4"/>
          <c:order val="4"/>
          <c:tx>
            <c:v>質問!#REF!</c:v>
          </c:tx>
          <c:spPr>
            <a:gradFill rotWithShape="1">
              <a:gsLst>
                <a:gs pos="0">
                  <a:srgbClr val="660066"/>
                </a:gs>
                <a:gs pos="50000">
                  <a:srgbClr val="2F002F"/>
                </a:gs>
                <a:gs pos="100000">
                  <a:srgbClr val="6600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(質問!#REF!,質問!#REF!)</c:f>
              <c:numCache>
                <c:ptCount val="1"/>
                <c:pt idx="0">
                  <c:v>1</c:v>
                </c:pt>
              </c:numCache>
            </c:numRef>
          </c:val>
        </c:ser>
        <c:ser>
          <c:idx val="5"/>
          <c:order val="5"/>
          <c:tx>
            <c:strRef>
              <c:f>'質問'!$N$184</c:f>
              <c:strCache>
                <c:ptCount val="1"/>
                <c:pt idx="0">
                  <c:v>省エネ機器</c:v>
                </c:pt>
              </c:strCache>
            </c:strRef>
          </c:tx>
          <c:spPr>
            <a:gradFill rotWithShape="1">
              <a:gsLst>
                <a:gs pos="0">
                  <a:srgbClr val="FF8080"/>
                </a:gs>
                <a:gs pos="5000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('質問'!$T$184,'質問'!$V$184)</c:f>
            </c:numRef>
          </c:val>
        </c:ser>
        <c:axId val="11446266"/>
        <c:axId val="35907531"/>
      </c:barChart>
      <c:catAx>
        <c:axId val="407380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1097969"/>
        <c:crosses val="autoZero"/>
        <c:auto val="1"/>
        <c:lblOffset val="100"/>
        <c:tickLblSkip val="1"/>
        <c:noMultiLvlLbl val="0"/>
      </c:catAx>
      <c:valAx>
        <c:axId val="31097969"/>
        <c:scaling>
          <c:orientation val="minMax"/>
          <c:max val="100"/>
          <c:min val="0"/>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crossAx val="40738032"/>
        <c:crossesAt val="1"/>
        <c:crossBetween val="between"/>
        <c:dispUnits/>
      </c:valAx>
      <c:catAx>
        <c:axId val="11446266"/>
        <c:scaling>
          <c:orientation val="minMax"/>
        </c:scaling>
        <c:axPos val="b"/>
        <c:delete val="1"/>
        <c:majorTickMark val="out"/>
        <c:minorTickMark val="none"/>
        <c:tickLblPos val="nextTo"/>
        <c:crossAx val="35907531"/>
        <c:crosses val="autoZero"/>
        <c:auto val="1"/>
        <c:lblOffset val="100"/>
        <c:tickLblSkip val="1"/>
        <c:noMultiLvlLbl val="0"/>
      </c:catAx>
      <c:valAx>
        <c:axId val="35907531"/>
        <c:scaling>
          <c:orientation val="minMax"/>
          <c:max val="100"/>
          <c:min val="0"/>
        </c:scaling>
        <c:axPos val="l"/>
        <c:delete val="0"/>
        <c:numFmt formatCode="General" sourceLinked="1"/>
        <c:majorTickMark val="in"/>
        <c:minorTickMark val="none"/>
        <c:tickLblPos val="none"/>
        <c:spPr>
          <a:ln w="3175">
            <a:solidFill>
              <a:srgbClr val="000000"/>
            </a:solidFill>
          </a:ln>
        </c:spPr>
        <c:crossAx val="11446266"/>
        <c:crosses val="max"/>
        <c:crossBetween val="between"/>
        <c:dispUnits/>
      </c:valAx>
      <c:spPr>
        <a:noFill/>
        <a:ln w="3175">
          <a:solidFill>
            <a:srgbClr val="000000"/>
          </a:solidFill>
        </a:ln>
      </c:spPr>
    </c:plotArea>
    <c:legend>
      <c:legendPos val="b"/>
      <c:layout>
        <c:manualLayout>
          <c:xMode val="edge"/>
          <c:yMode val="edge"/>
          <c:x val="0.2255"/>
          <c:y val="0.92125"/>
          <c:w val="0.62525"/>
          <c:h val="0.06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エリア合計</a:t>
            </a:r>
          </a:p>
        </c:rich>
      </c:tx>
      <c:layout>
        <c:manualLayout>
          <c:xMode val="factor"/>
          <c:yMode val="factor"/>
          <c:x val="0.00175"/>
          <c:y val="0"/>
        </c:manualLayout>
      </c:layout>
      <c:spPr>
        <a:noFill/>
        <a:ln>
          <a:noFill/>
        </a:ln>
      </c:spPr>
    </c:title>
    <c:plotArea>
      <c:layout>
        <c:manualLayout>
          <c:xMode val="edge"/>
          <c:yMode val="edge"/>
          <c:x val="0.01775"/>
          <c:y val="0.14125"/>
          <c:w val="0.9645"/>
          <c:h val="0.74175"/>
        </c:manualLayout>
      </c:layout>
      <c:barChart>
        <c:barDir val="col"/>
        <c:grouping val="clustered"/>
        <c:varyColors val="0"/>
        <c:ser>
          <c:idx val="9"/>
          <c:order val="9"/>
          <c:tx>
            <c:strRef>
              <c:f>'質問'!$N$179</c:f>
              <c:strCache>
                <c:ptCount val="1"/>
                <c:pt idx="0">
                  <c:v>合計</c:v>
                </c:pt>
              </c:strCache>
            </c:strRef>
          </c:tx>
          <c:spPr>
            <a:gradFill rotWithShape="1">
              <a:gsLst>
                <a:gs pos="0">
                  <a:srgbClr val="FF00FF"/>
                </a:gs>
                <a:gs pos="50000">
                  <a:srgbClr val="760076"/>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quot;点&quot;" sourceLinked="0"/>
            <c:spPr>
              <a:solidFill>
                <a:srgbClr val="FFFFFF"/>
              </a:solidFill>
              <a:ln w="3175">
                <a:solidFill>
                  <a:srgbClr val="000000"/>
                </a:solid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('質問'!$O$178,'質問'!$Q$178)</c:f>
            </c:strRef>
          </c:cat>
          <c:val>
            <c:numRef>
              <c:f>'質問'!$Y$179:$Z$179</c:f>
            </c:numRef>
          </c:val>
        </c:ser>
        <c:axId val="54732324"/>
        <c:axId val="22828869"/>
      </c:barChart>
      <c:barChart>
        <c:barDir val="col"/>
        <c:grouping val="clustered"/>
        <c:varyColors val="0"/>
        <c:ser>
          <c:idx val="0"/>
          <c:order val="0"/>
          <c:tx>
            <c:strRef>
              <c:f>'質問'!$N$181</c:f>
              <c:strCache>
                <c:ptCount val="1"/>
                <c:pt idx="0">
                  <c:v>照明</c:v>
                </c:pt>
              </c:strCache>
            </c:strRef>
          </c:tx>
          <c:spPr>
            <a:gradFill rotWithShape="1">
              <a:gsLst>
                <a:gs pos="0">
                  <a:srgbClr val="9999FF"/>
                </a:gs>
                <a:gs pos="50000">
                  <a:srgbClr val="474776"/>
                </a:gs>
                <a:gs pos="100000">
                  <a:srgbClr val="9999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'質問'!$Y$181:$Z$181</c:f>
            </c:numRef>
          </c:val>
        </c:ser>
        <c:ser>
          <c:idx val="1"/>
          <c:order val="1"/>
          <c:tx>
            <c:strRef>
              <c:f>'質問'!$N$182</c:f>
              <c:strCache>
                <c:ptCount val="1"/>
                <c:pt idx="0">
                  <c:v>空調</c:v>
                </c:pt>
              </c:strCache>
            </c:strRef>
          </c:tx>
          <c:spPr>
            <a:gradFill rotWithShape="1">
              <a:gsLst>
                <a:gs pos="0">
                  <a:srgbClr val="993366"/>
                </a:gs>
                <a:gs pos="50000">
                  <a:srgbClr val="47182F"/>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'質問'!$Y$182:$Z$182</c:f>
            </c:numRef>
          </c:val>
        </c:ser>
        <c:ser>
          <c:idx val="2"/>
          <c:order val="2"/>
          <c:tx>
            <c:strRef>
              <c:f>'質問'!$N$183</c:f>
              <c:strCache>
                <c:ptCount val="1"/>
                <c:pt idx="0">
                  <c:v>利用者</c:v>
                </c:pt>
              </c:strCache>
            </c:strRef>
          </c:tx>
          <c:spPr>
            <a:gradFill rotWithShape="1">
              <a:gsLst>
                <a:gs pos="0">
                  <a:srgbClr val="FFFFCC"/>
                </a:gs>
                <a:gs pos="50000">
                  <a:srgbClr val="76765E"/>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'質問'!$Y$183:$Z$183</c:f>
            </c:numRef>
          </c:val>
        </c:ser>
        <c:ser>
          <c:idx val="3"/>
          <c:order val="3"/>
          <c:tx>
            <c:v>質問!#REF!</c:v>
          </c:tx>
          <c:spPr>
            <a:gradFill rotWithShape="1">
              <a:gsLst>
                <a:gs pos="0">
                  <a:srgbClr val="CCFFFF"/>
                </a:gs>
                <a:gs pos="50000">
                  <a:srgbClr val="5E7676"/>
                </a:gs>
                <a:gs pos="100000">
                  <a:srgbClr val="CCFF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質問!#REF!</c:f>
              <c:numCache>
                <c:ptCount val="1"/>
                <c:pt idx="0">
                  <c:v>1</c:v>
                </c:pt>
              </c:numCache>
            </c:numRef>
          </c:val>
        </c:ser>
        <c:ser>
          <c:idx val="4"/>
          <c:order val="4"/>
          <c:tx>
            <c:v>質問!#REF!</c:v>
          </c:tx>
          <c:spPr>
            <a:gradFill rotWithShape="1">
              <a:gsLst>
                <a:gs pos="0">
                  <a:srgbClr val="660066"/>
                </a:gs>
                <a:gs pos="50000">
                  <a:srgbClr val="2F002F"/>
                </a:gs>
                <a:gs pos="100000">
                  <a:srgbClr val="6600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質問!#REF!</c:f>
              <c:numCache>
                <c:ptCount val="1"/>
                <c:pt idx="0">
                  <c:v>1</c:v>
                </c:pt>
              </c:numCache>
            </c:numRef>
          </c:val>
        </c:ser>
        <c:ser>
          <c:idx val="5"/>
          <c:order val="5"/>
          <c:tx>
            <c:strRef>
              <c:f>'質問'!$N$184</c:f>
              <c:strCache>
                <c:ptCount val="1"/>
                <c:pt idx="0">
                  <c:v>省エネ機器</c:v>
                </c:pt>
              </c:strCache>
            </c:strRef>
          </c:tx>
          <c:spPr>
            <a:gradFill rotWithShape="1">
              <a:gsLst>
                <a:gs pos="0">
                  <a:srgbClr val="FF8080"/>
                </a:gs>
                <a:gs pos="50000">
                  <a:srgbClr val="763B3B"/>
                </a:gs>
                <a:gs pos="100000">
                  <a:srgbClr val="FF808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'質問'!$Y$184:$Z$184</c:f>
            </c:numRef>
          </c:val>
        </c:ser>
        <c:ser>
          <c:idx val="6"/>
          <c:order val="6"/>
          <c:tx>
            <c:strRef>
              <c:f>'質問'!$N$186</c:f>
              <c:strCache>
                <c:ptCount val="1"/>
                <c:pt idx="0">
                  <c:v>保全</c:v>
                </c:pt>
              </c:strCache>
            </c:strRef>
          </c:tx>
          <c:spPr>
            <a:gradFill rotWithShape="1">
              <a:gsLst>
                <a:gs pos="0">
                  <a:srgbClr val="0066CC"/>
                </a:gs>
                <a:gs pos="50000">
                  <a:srgbClr val="002F5E"/>
                </a:gs>
                <a:gs pos="100000">
                  <a:srgbClr val="0066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'質問'!$Y$186:$Z$186</c:f>
            </c:numRef>
          </c:val>
        </c:ser>
        <c:ser>
          <c:idx val="7"/>
          <c:order val="7"/>
          <c:tx>
            <c:strRef>
              <c:f>'質問'!$N$185</c:f>
              <c:strCache>
                <c:ptCount val="1"/>
                <c:pt idx="0">
                  <c:v>啓発活動</c:v>
                </c:pt>
              </c:strCache>
            </c:strRef>
          </c:tx>
          <c:spPr>
            <a:gradFill rotWithShape="1">
              <a:gsLst>
                <a:gs pos="0">
                  <a:srgbClr val="CCCCFF"/>
                </a:gs>
                <a:gs pos="50000">
                  <a:srgbClr val="5E5E76"/>
                </a:gs>
                <a:gs pos="100000">
                  <a:srgbClr val="CCCC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('質問'!$O$178,'質問'!$Q$178)</c:f>
            </c:strRef>
          </c:cat>
          <c:val>
            <c:numRef>
              <c:f>'質問'!$Y$185:$Z$185</c:f>
            </c:numRef>
          </c:val>
        </c:ser>
        <c:ser>
          <c:idx val="8"/>
          <c:order val="8"/>
          <c:tx>
            <c:strRef>
              <c:f>'質問'!$N$187</c:f>
              <c:strCache>
                <c:ptCount val="1"/>
                <c:pt idx="0">
                  <c:v>その他</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('質問'!$O$178,'質問'!$Q$178)</c:f>
            </c:strRef>
          </c:cat>
          <c:val>
            <c:numRef>
              <c:f>'質問'!$Y$187:$Z$187</c:f>
            </c:numRef>
          </c:val>
        </c:ser>
        <c:axId val="4133230"/>
        <c:axId val="37199071"/>
      </c:barChart>
      <c:catAx>
        <c:axId val="547323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22828869"/>
        <c:crosses val="autoZero"/>
        <c:auto val="1"/>
        <c:lblOffset val="100"/>
        <c:tickLblSkip val="1"/>
        <c:noMultiLvlLbl val="0"/>
      </c:catAx>
      <c:valAx>
        <c:axId val="22828869"/>
        <c:scaling>
          <c:orientation val="minMax"/>
          <c:max val="100"/>
          <c:min val="0"/>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crossAx val="54732324"/>
        <c:crossesAt val="1"/>
        <c:crossBetween val="between"/>
        <c:dispUnits/>
      </c:valAx>
      <c:catAx>
        <c:axId val="4133230"/>
        <c:scaling>
          <c:orientation val="minMax"/>
        </c:scaling>
        <c:axPos val="b"/>
        <c:delete val="1"/>
        <c:majorTickMark val="out"/>
        <c:minorTickMark val="none"/>
        <c:tickLblPos val="nextTo"/>
        <c:crossAx val="37199071"/>
        <c:crosses val="autoZero"/>
        <c:auto val="1"/>
        <c:lblOffset val="100"/>
        <c:tickLblSkip val="1"/>
        <c:noMultiLvlLbl val="0"/>
      </c:catAx>
      <c:valAx>
        <c:axId val="37199071"/>
        <c:scaling>
          <c:orientation val="minMax"/>
          <c:max val="100"/>
          <c:min val="0"/>
        </c:scaling>
        <c:axPos val="l"/>
        <c:delete val="0"/>
        <c:numFmt formatCode="General" sourceLinked="1"/>
        <c:majorTickMark val="in"/>
        <c:minorTickMark val="none"/>
        <c:tickLblPos val="none"/>
        <c:spPr>
          <a:ln w="3175">
            <a:solidFill>
              <a:srgbClr val="000000"/>
            </a:solidFill>
          </a:ln>
        </c:spPr>
        <c:crossAx val="4133230"/>
        <c:crosses val="max"/>
        <c:crossBetween val="between"/>
        <c:dispUnits/>
      </c:valAx>
      <c:spPr>
        <a:noFill/>
        <a:ln w="3175">
          <a:solidFill>
            <a:srgbClr val="000000"/>
          </a:solidFill>
        </a:ln>
      </c:spPr>
    </c:plotArea>
    <c:legend>
      <c:legendPos val="b"/>
      <c:layout>
        <c:manualLayout>
          <c:xMode val="edge"/>
          <c:yMode val="edge"/>
          <c:x val="0.04625"/>
          <c:y val="0.92075"/>
          <c:w val="0.90775"/>
          <c:h val="0.065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
          <c:y val="0.228"/>
          <c:w val="0.434"/>
          <c:h val="0.6255"/>
        </c:manualLayout>
      </c:layout>
      <c:radarChart>
        <c:radarStyle val="marker"/>
        <c:varyColors val="0"/>
        <c:ser>
          <c:idx val="0"/>
          <c:order val="0"/>
          <c:tx>
            <c:strRef>
              <c:f>'回答算出'!$A$235</c:f>
              <c:strCache>
                <c:ptCount val="1"/>
                <c:pt idx="0">
                  <c:v>現在のあなたの施設の運用・保全度55％</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'回答算出'!$A$232:$A$234</c:f>
              <c:strCache/>
            </c:strRef>
          </c:cat>
          <c:val>
            <c:numRef>
              <c:f>'回答算出'!$C$232:$C$234</c:f>
              <c:numCache/>
            </c:numRef>
          </c:val>
        </c:ser>
        <c:axId val="66356184"/>
        <c:axId val="60334745"/>
      </c:radarChart>
      <c:catAx>
        <c:axId val="6635618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0334745"/>
        <c:crosses val="autoZero"/>
        <c:auto val="0"/>
        <c:lblOffset val="100"/>
        <c:tickLblSkip val="1"/>
        <c:noMultiLvlLbl val="0"/>
      </c:catAx>
      <c:valAx>
        <c:axId val="60334745"/>
        <c:scaling>
          <c:orientation val="minMax"/>
          <c:max val="1"/>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356184"/>
        <c:crossesAt val="1"/>
        <c:crossBetween val="between"/>
        <c:dispUnits/>
      </c:valAx>
      <c:spPr>
        <a:noFill/>
        <a:ln>
          <a:noFill/>
        </a:ln>
      </c:spPr>
    </c:plotArea>
    <c:legend>
      <c:legendPos val="t"/>
      <c:layout>
        <c:manualLayout>
          <c:xMode val="edge"/>
          <c:yMode val="edge"/>
          <c:x val="0.21"/>
          <c:y val="0.01025"/>
          <c:w val="0.57775"/>
          <c:h val="0.064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85725</xdr:rowOff>
    </xdr:from>
    <xdr:to>
      <xdr:col>1</xdr:col>
      <xdr:colOff>3152775</xdr:colOff>
      <xdr:row>1</xdr:row>
      <xdr:rowOff>152400</xdr:rowOff>
    </xdr:to>
    <xdr:sp>
      <xdr:nvSpPr>
        <xdr:cNvPr id="1" name="Text Box 10"/>
        <xdr:cNvSpPr txBox="1">
          <a:spLocks noChangeArrowheads="1"/>
        </xdr:cNvSpPr>
      </xdr:nvSpPr>
      <xdr:spPr>
        <a:xfrm>
          <a:off x="161925" y="85725"/>
          <a:ext cx="3143250"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■施設管理者向けチェックシート</a:t>
          </a:r>
        </a:p>
      </xdr:txBody>
    </xdr:sp>
    <xdr:clientData/>
  </xdr:twoCellAnchor>
  <xdr:twoCellAnchor editAs="oneCell">
    <xdr:from>
      <xdr:col>1</xdr:col>
      <xdr:colOff>1114425</xdr:colOff>
      <xdr:row>38</xdr:row>
      <xdr:rowOff>19050</xdr:rowOff>
    </xdr:from>
    <xdr:to>
      <xdr:col>1</xdr:col>
      <xdr:colOff>4543425</xdr:colOff>
      <xdr:row>45</xdr:row>
      <xdr:rowOff>38100</xdr:rowOff>
    </xdr:to>
    <xdr:pic>
      <xdr:nvPicPr>
        <xdr:cNvPr id="2" name="図 6"/>
        <xdr:cNvPicPr preferRelativeResize="1">
          <a:picLocks noChangeAspect="1"/>
        </xdr:cNvPicPr>
      </xdr:nvPicPr>
      <xdr:blipFill>
        <a:blip r:embed="rId1"/>
        <a:stretch>
          <a:fillRect/>
        </a:stretch>
      </xdr:blipFill>
      <xdr:spPr>
        <a:xfrm>
          <a:off x="1266825" y="14754225"/>
          <a:ext cx="34290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109</xdr:row>
      <xdr:rowOff>104775</xdr:rowOff>
    </xdr:from>
    <xdr:to>
      <xdr:col>9</xdr:col>
      <xdr:colOff>0</xdr:colOff>
      <xdr:row>131</xdr:row>
      <xdr:rowOff>123825</xdr:rowOff>
    </xdr:to>
    <xdr:graphicFrame>
      <xdr:nvGraphicFramePr>
        <xdr:cNvPr id="1" name="Chart 3"/>
        <xdr:cNvGraphicFramePr/>
      </xdr:nvGraphicFramePr>
      <xdr:xfrm>
        <a:off x="542925" y="18878550"/>
        <a:ext cx="5638800" cy="3733800"/>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150</xdr:row>
      <xdr:rowOff>38100</xdr:rowOff>
    </xdr:from>
    <xdr:to>
      <xdr:col>9</xdr:col>
      <xdr:colOff>390525</xdr:colOff>
      <xdr:row>155</xdr:row>
      <xdr:rowOff>47625</xdr:rowOff>
    </xdr:to>
    <xdr:sp>
      <xdr:nvSpPr>
        <xdr:cNvPr id="2" name="Text Box 7"/>
        <xdr:cNvSpPr txBox="1">
          <a:spLocks noChangeArrowheads="1"/>
        </xdr:cNvSpPr>
      </xdr:nvSpPr>
      <xdr:spPr>
        <a:xfrm>
          <a:off x="304800" y="25698450"/>
          <a:ext cx="6267450" cy="8382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省エネ可能性度は、標準的な建物における、運転時間、単位面積あたりの消費エネルギーを参考に試算をしています。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109</xdr:row>
      <xdr:rowOff>104775</xdr:rowOff>
    </xdr:from>
    <xdr:to>
      <xdr:col>9</xdr:col>
      <xdr:colOff>0</xdr:colOff>
      <xdr:row>131</xdr:row>
      <xdr:rowOff>123825</xdr:rowOff>
    </xdr:to>
    <xdr:graphicFrame>
      <xdr:nvGraphicFramePr>
        <xdr:cNvPr id="1" name="Chart 1"/>
        <xdr:cNvGraphicFramePr/>
      </xdr:nvGraphicFramePr>
      <xdr:xfrm>
        <a:off x="542925" y="18878550"/>
        <a:ext cx="5638800" cy="3733800"/>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150</xdr:row>
      <xdr:rowOff>38100</xdr:rowOff>
    </xdr:from>
    <xdr:to>
      <xdr:col>9</xdr:col>
      <xdr:colOff>390525</xdr:colOff>
      <xdr:row>155</xdr:row>
      <xdr:rowOff>47625</xdr:rowOff>
    </xdr:to>
    <xdr:sp>
      <xdr:nvSpPr>
        <xdr:cNvPr id="2" name="Text Box 2"/>
        <xdr:cNvSpPr txBox="1">
          <a:spLocks noChangeArrowheads="1"/>
        </xdr:cNvSpPr>
      </xdr:nvSpPr>
      <xdr:spPr>
        <a:xfrm>
          <a:off x="304800" y="25698450"/>
          <a:ext cx="6267450" cy="8382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省エネ可能性度は、標準的な建物における、運転時間、単位面積あたりの消費エネルギーを参考に試算をしています。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xdr:row>
      <xdr:rowOff>123825</xdr:rowOff>
    </xdr:from>
    <xdr:to>
      <xdr:col>21</xdr:col>
      <xdr:colOff>161925</xdr:colOff>
      <xdr:row>19</xdr:row>
      <xdr:rowOff>85725</xdr:rowOff>
    </xdr:to>
    <xdr:graphicFrame>
      <xdr:nvGraphicFramePr>
        <xdr:cNvPr id="1" name="Chart 1"/>
        <xdr:cNvGraphicFramePr/>
      </xdr:nvGraphicFramePr>
      <xdr:xfrm>
        <a:off x="9963150" y="466725"/>
        <a:ext cx="5457825" cy="2876550"/>
      </xdr:xfrm>
      <a:graphic>
        <a:graphicData uri="http://schemas.openxmlformats.org/drawingml/2006/chart">
          <c:chart xmlns:c="http://schemas.openxmlformats.org/drawingml/2006/chart" r:id="rId1"/>
        </a:graphicData>
      </a:graphic>
    </xdr:graphicFrame>
    <xdr:clientData/>
  </xdr:twoCellAnchor>
  <xdr:twoCellAnchor>
    <xdr:from>
      <xdr:col>13</xdr:col>
      <xdr:colOff>190500</xdr:colOff>
      <xdr:row>20</xdr:row>
      <xdr:rowOff>95250</xdr:rowOff>
    </xdr:from>
    <xdr:to>
      <xdr:col>21</xdr:col>
      <xdr:colOff>152400</xdr:colOff>
      <xdr:row>37</xdr:row>
      <xdr:rowOff>47625</xdr:rowOff>
    </xdr:to>
    <xdr:graphicFrame>
      <xdr:nvGraphicFramePr>
        <xdr:cNvPr id="2" name="Chart 2"/>
        <xdr:cNvGraphicFramePr/>
      </xdr:nvGraphicFramePr>
      <xdr:xfrm>
        <a:off x="9963150" y="3524250"/>
        <a:ext cx="5448300" cy="2867025"/>
      </xdr:xfrm>
      <a:graphic>
        <a:graphicData uri="http://schemas.openxmlformats.org/drawingml/2006/chart">
          <c:chart xmlns:c="http://schemas.openxmlformats.org/drawingml/2006/chart" r:id="rId2"/>
        </a:graphicData>
      </a:graphic>
    </xdr:graphicFrame>
    <xdr:clientData/>
  </xdr:twoCellAnchor>
  <xdr:twoCellAnchor>
    <xdr:from>
      <xdr:col>13</xdr:col>
      <xdr:colOff>171450</xdr:colOff>
      <xdr:row>38</xdr:row>
      <xdr:rowOff>76200</xdr:rowOff>
    </xdr:from>
    <xdr:to>
      <xdr:col>21</xdr:col>
      <xdr:colOff>133350</xdr:colOff>
      <xdr:row>55</xdr:row>
      <xdr:rowOff>9525</xdr:rowOff>
    </xdr:to>
    <xdr:graphicFrame>
      <xdr:nvGraphicFramePr>
        <xdr:cNvPr id="3" name="Chart 3"/>
        <xdr:cNvGraphicFramePr/>
      </xdr:nvGraphicFramePr>
      <xdr:xfrm>
        <a:off x="9944100" y="6591300"/>
        <a:ext cx="5448300" cy="2847975"/>
      </xdr:xfrm>
      <a:graphic>
        <a:graphicData uri="http://schemas.openxmlformats.org/drawingml/2006/chart">
          <c:chart xmlns:c="http://schemas.openxmlformats.org/drawingml/2006/chart" r:id="rId3"/>
        </a:graphicData>
      </a:graphic>
    </xdr:graphicFrame>
    <xdr:clientData/>
  </xdr:twoCellAnchor>
  <xdr:twoCellAnchor>
    <xdr:from>
      <xdr:col>0</xdr:col>
      <xdr:colOff>342900</xdr:colOff>
      <xdr:row>237</xdr:row>
      <xdr:rowOff>142875</xdr:rowOff>
    </xdr:from>
    <xdr:to>
      <xdr:col>5</xdr:col>
      <xdr:colOff>504825</xdr:colOff>
      <xdr:row>254</xdr:row>
      <xdr:rowOff>114300</xdr:rowOff>
    </xdr:to>
    <xdr:graphicFrame>
      <xdr:nvGraphicFramePr>
        <xdr:cNvPr id="4" name="Chart 4"/>
        <xdr:cNvGraphicFramePr/>
      </xdr:nvGraphicFramePr>
      <xdr:xfrm>
        <a:off x="342900" y="40843200"/>
        <a:ext cx="4124325" cy="28860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ccj.or.jp/b_tuning/2-1-7/index.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0"/>
  <sheetViews>
    <sheetView tabSelected="1" view="pageBreakPreview" zoomScaleSheetLayoutView="100" zoomScalePageLayoutView="0" workbookViewId="0" topLeftCell="A1">
      <selection activeCell="A4" sqref="A4:B4"/>
    </sheetView>
  </sheetViews>
  <sheetFormatPr defaultColWidth="9.00390625" defaultRowHeight="13.5"/>
  <cols>
    <col min="1" max="1" width="2.00390625" style="313" customWidth="1"/>
    <col min="2" max="2" width="83.875" style="320" customWidth="1"/>
    <col min="3" max="16384" width="9.00390625" style="313" customWidth="1"/>
  </cols>
  <sheetData>
    <row r="1" spans="1:2" s="312" customFormat="1" ht="15.75" customHeight="1">
      <c r="A1" s="311"/>
      <c r="B1" s="323"/>
    </row>
    <row r="2" spans="1:2" s="312" customFormat="1" ht="15.75" customHeight="1">
      <c r="A2" s="355"/>
      <c r="B2" s="356"/>
    </row>
    <row r="3" spans="1:2" s="312" customFormat="1" ht="15.75" customHeight="1">
      <c r="A3" s="355"/>
      <c r="B3" s="356"/>
    </row>
    <row r="4" spans="1:2" ht="14.25">
      <c r="A4" s="520" t="s">
        <v>720</v>
      </c>
      <c r="B4" s="521"/>
    </row>
    <row r="5" spans="1:2" ht="14.25" customHeight="1">
      <c r="A5" s="322"/>
      <c r="B5" s="324"/>
    </row>
    <row r="6" spans="1:2" s="315" customFormat="1" ht="89.25" customHeight="1">
      <c r="A6" s="522" t="s">
        <v>26</v>
      </c>
      <c r="B6" s="523"/>
    </row>
    <row r="7" spans="1:2" ht="18" customHeight="1">
      <c r="A7" s="316" t="s">
        <v>559</v>
      </c>
      <c r="B7" s="325"/>
    </row>
    <row r="8" spans="1:2" s="345" customFormat="1" ht="43.5" customHeight="1">
      <c r="A8" s="344" t="s">
        <v>97</v>
      </c>
      <c r="B8" s="326" t="s">
        <v>28</v>
      </c>
    </row>
    <row r="9" spans="1:2" s="345" customFormat="1" ht="30" customHeight="1">
      <c r="A9" s="344" t="s">
        <v>29</v>
      </c>
      <c r="B9" s="326" t="s">
        <v>30</v>
      </c>
    </row>
    <row r="10" spans="1:2" ht="19.5" customHeight="1">
      <c r="A10" s="316" t="s">
        <v>560</v>
      </c>
      <c r="B10" s="325"/>
    </row>
    <row r="11" spans="1:2" ht="19.5" customHeight="1">
      <c r="A11" s="318"/>
      <c r="B11" s="327" t="s">
        <v>561</v>
      </c>
    </row>
    <row r="12" spans="1:2" s="345" customFormat="1" ht="59.25" customHeight="1">
      <c r="A12" s="344" t="s">
        <v>97</v>
      </c>
      <c r="B12" s="326" t="s">
        <v>696</v>
      </c>
    </row>
    <row r="13" spans="1:2" s="345" customFormat="1" ht="14.25" customHeight="1">
      <c r="A13" s="346"/>
      <c r="B13" s="326" t="s">
        <v>563</v>
      </c>
    </row>
    <row r="14" spans="1:2" s="345" customFormat="1" ht="30.75" customHeight="1">
      <c r="A14" s="344" t="s">
        <v>31</v>
      </c>
      <c r="B14" s="326" t="s">
        <v>32</v>
      </c>
    </row>
    <row r="15" spans="1:2" s="345" customFormat="1" ht="28.5" customHeight="1">
      <c r="A15" s="344" t="s">
        <v>31</v>
      </c>
      <c r="B15" s="326" t="s">
        <v>33</v>
      </c>
    </row>
    <row r="16" spans="1:2" s="345" customFormat="1" ht="29.25" customHeight="1">
      <c r="A16" s="344" t="s">
        <v>27</v>
      </c>
      <c r="B16" s="326" t="s">
        <v>34</v>
      </c>
    </row>
    <row r="17" spans="1:2" s="345" customFormat="1" ht="34.5" customHeight="1">
      <c r="A17" s="344" t="s">
        <v>35</v>
      </c>
      <c r="B17" s="326" t="s">
        <v>697</v>
      </c>
    </row>
    <row r="18" spans="1:2" s="345" customFormat="1" ht="33" customHeight="1">
      <c r="A18" s="344" t="s">
        <v>36</v>
      </c>
      <c r="B18" s="326" t="s">
        <v>698</v>
      </c>
    </row>
    <row r="19" spans="1:2" ht="13.5">
      <c r="A19" s="314"/>
      <c r="B19" s="328"/>
    </row>
    <row r="20" spans="1:2" s="317" customFormat="1" ht="18" customHeight="1">
      <c r="A20" s="314"/>
      <c r="B20" s="327" t="s">
        <v>37</v>
      </c>
    </row>
    <row r="21" spans="1:2" s="345" customFormat="1" ht="61.5" customHeight="1">
      <c r="A21" s="344" t="s">
        <v>97</v>
      </c>
      <c r="B21" s="326" t="s">
        <v>699</v>
      </c>
    </row>
    <row r="22" spans="1:2" s="348" customFormat="1" ht="44.25" customHeight="1">
      <c r="A22" s="344" t="s">
        <v>27</v>
      </c>
      <c r="B22" s="347" t="s">
        <v>49</v>
      </c>
    </row>
    <row r="23" spans="1:2" s="348" customFormat="1" ht="30" customHeight="1" thickBot="1">
      <c r="A23" s="344" t="s">
        <v>38</v>
      </c>
      <c r="B23" s="347" t="s">
        <v>358</v>
      </c>
    </row>
    <row r="24" spans="1:26" s="348" customFormat="1" ht="22.5" customHeight="1">
      <c r="A24" s="344" t="s">
        <v>38</v>
      </c>
      <c r="B24" s="347" t="s">
        <v>357</v>
      </c>
      <c r="Y24" s="349" t="s">
        <v>118</v>
      </c>
      <c r="Z24" s="350"/>
    </row>
    <row r="25" spans="1:26" s="348" customFormat="1" ht="60.75" customHeight="1">
      <c r="A25" s="344" t="s">
        <v>50</v>
      </c>
      <c r="B25" s="347" t="s">
        <v>692</v>
      </c>
      <c r="Y25" s="351"/>
      <c r="Z25" s="352"/>
    </row>
    <row r="26" spans="1:2" s="345" customFormat="1" ht="38.25" customHeight="1">
      <c r="A26" s="353" t="s">
        <v>51</v>
      </c>
      <c r="B26" s="332" t="s">
        <v>717</v>
      </c>
    </row>
    <row r="27" spans="1:2" s="317" customFormat="1" ht="19.5" customHeight="1">
      <c r="A27" s="333"/>
      <c r="B27" s="334" t="s">
        <v>39</v>
      </c>
    </row>
    <row r="28" spans="1:2" s="345" customFormat="1" ht="69" customHeight="1">
      <c r="A28" s="344" t="s">
        <v>97</v>
      </c>
      <c r="B28" s="326" t="s">
        <v>353</v>
      </c>
    </row>
    <row r="29" spans="1:2" s="354" customFormat="1" ht="49.5" customHeight="1">
      <c r="A29" s="344"/>
      <c r="B29" s="331" t="s">
        <v>354</v>
      </c>
    </row>
    <row r="30" spans="1:2" s="354" customFormat="1" ht="43.5" customHeight="1">
      <c r="A30" s="344"/>
      <c r="B30" s="331" t="s">
        <v>695</v>
      </c>
    </row>
    <row r="31" spans="1:2" s="354" customFormat="1" ht="43.5" customHeight="1">
      <c r="A31" s="344"/>
      <c r="B31" s="331" t="s">
        <v>355</v>
      </c>
    </row>
    <row r="32" spans="1:2" ht="13.5">
      <c r="A32" s="314"/>
      <c r="B32" s="329"/>
    </row>
    <row r="33" spans="1:2" s="317" customFormat="1" ht="13.5">
      <c r="A33" s="314"/>
      <c r="B33" s="327" t="s">
        <v>40</v>
      </c>
    </row>
    <row r="34" spans="1:2" s="345" customFormat="1" ht="40.5" customHeight="1">
      <c r="A34" s="346"/>
      <c r="B34" s="326" t="s">
        <v>52</v>
      </c>
    </row>
    <row r="35" spans="1:2" ht="13.5">
      <c r="A35" s="314"/>
      <c r="B35" s="328"/>
    </row>
    <row r="36" spans="1:2" ht="13.5">
      <c r="A36" s="314"/>
      <c r="B36" s="328" t="s">
        <v>693</v>
      </c>
    </row>
    <row r="37" spans="1:2" ht="13.5">
      <c r="A37" s="314"/>
      <c r="B37" s="328" t="s">
        <v>694</v>
      </c>
    </row>
    <row r="38" spans="1:2" ht="13.5">
      <c r="A38" s="314"/>
      <c r="B38" s="328"/>
    </row>
    <row r="39" spans="1:2" ht="13.5">
      <c r="A39" s="314"/>
      <c r="B39" s="328"/>
    </row>
    <row r="40" spans="1:2" ht="13.5">
      <c r="A40" s="314"/>
      <c r="B40" s="328"/>
    </row>
    <row r="41" spans="1:2" ht="13.5">
      <c r="A41" s="314"/>
      <c r="B41" s="328"/>
    </row>
    <row r="42" spans="1:2" ht="13.5">
      <c r="A42" s="314"/>
      <c r="B42" s="328"/>
    </row>
    <row r="43" spans="1:2" ht="13.5">
      <c r="A43" s="314"/>
      <c r="B43" s="328"/>
    </row>
    <row r="44" spans="1:2" ht="13.5">
      <c r="A44" s="314"/>
      <c r="B44" s="328"/>
    </row>
    <row r="45" spans="1:2" ht="13.5">
      <c r="A45" s="314"/>
      <c r="B45" s="328"/>
    </row>
    <row r="46" spans="1:2" ht="13.5">
      <c r="A46" s="314"/>
      <c r="B46" s="328"/>
    </row>
    <row r="47" spans="1:2" ht="13.5">
      <c r="A47" s="314"/>
      <c r="B47" s="328"/>
    </row>
    <row r="48" spans="1:2" ht="13.5">
      <c r="A48" s="314"/>
      <c r="B48" s="328"/>
    </row>
    <row r="49" spans="1:2" ht="13.5">
      <c r="A49" s="314"/>
      <c r="B49" s="328"/>
    </row>
    <row r="50" spans="1:2" ht="13.5">
      <c r="A50" s="319"/>
      <c r="B50" s="330"/>
    </row>
  </sheetData>
  <sheetProtection/>
  <mergeCells count="2">
    <mergeCell ref="A4:B4"/>
    <mergeCell ref="A6:B6"/>
  </mergeCells>
  <printOptions horizontalCentered="1"/>
  <pageMargins left="0.7874015748031497" right="0.7874015748031497" top="0.79" bottom="1.1811023622047245" header="0.3" footer="0.5118110236220472"/>
  <pageSetup horizontalDpi="600" verticalDpi="600" orientation="portrait" paperSize="9" scale="94" r:id="rId2"/>
  <headerFooter alignWithMargins="0">
    <oddHeader>&amp;R
</oddHeader>
  </headerFooter>
  <rowBreaks count="1" manualBreakCount="1">
    <brk id="26" max="1" man="1"/>
  </rowBreaks>
  <drawing r:id="rId1"/>
</worksheet>
</file>

<file path=xl/worksheets/sheet2.xml><?xml version="1.0" encoding="utf-8"?>
<worksheet xmlns="http://schemas.openxmlformats.org/spreadsheetml/2006/main" xmlns:r="http://schemas.openxmlformats.org/officeDocument/2006/relationships">
  <dimension ref="A1:AC189"/>
  <sheetViews>
    <sheetView view="pageBreakPreview" zoomScale="85" zoomScaleSheetLayoutView="85" zoomScalePageLayoutView="0" workbookViewId="0" topLeftCell="A1">
      <selection activeCell="L16" sqref="L16"/>
    </sheetView>
  </sheetViews>
  <sheetFormatPr defaultColWidth="9.00390625" defaultRowHeight="13.5"/>
  <cols>
    <col min="1" max="1" width="15.25390625" style="10" customWidth="1"/>
    <col min="2" max="3" width="2.125" style="10" customWidth="1"/>
    <col min="4" max="4" width="50.25390625" style="10" customWidth="1"/>
    <col min="5" max="5" width="26.375" style="10" customWidth="1"/>
    <col min="6" max="6" width="4.125" style="10" customWidth="1"/>
    <col min="7" max="7" width="6.00390625" style="10" customWidth="1"/>
    <col min="8" max="8" width="4.75390625" style="10" customWidth="1"/>
    <col min="9" max="9" width="6.00390625" style="10" customWidth="1"/>
    <col min="10" max="10" width="4.00390625" style="10" customWidth="1"/>
    <col min="11" max="11" width="6.00390625" style="10" customWidth="1"/>
    <col min="12" max="12" width="4.50390625" style="10" customWidth="1"/>
    <col min="13" max="13" width="6.00390625" style="10" customWidth="1"/>
    <col min="14" max="14" width="10.625" style="10" hidden="1" customWidth="1"/>
    <col min="15" max="18" width="9.875" style="10" hidden="1" customWidth="1"/>
    <col min="19" max="19" width="12.125" style="10" hidden="1" customWidth="1"/>
    <col min="20" max="23" width="9.875" style="10" hidden="1" customWidth="1"/>
    <col min="24" max="24" width="11.875" style="10" hidden="1" customWidth="1"/>
    <col min="25" max="26" width="9.875" style="10" hidden="1" customWidth="1"/>
    <col min="27" max="27" width="12.125" style="10" hidden="1" customWidth="1"/>
    <col min="28" max="29" width="0" style="10" hidden="1" customWidth="1"/>
    <col min="30" max="16384" width="9.00390625" style="10" customWidth="1"/>
  </cols>
  <sheetData>
    <row r="1" ht="17.25">
      <c r="A1" s="3" t="s">
        <v>753</v>
      </c>
    </row>
    <row r="2" ht="17.25">
      <c r="A2" s="3"/>
    </row>
    <row r="3" ht="17.25">
      <c r="A3" s="3" t="s">
        <v>356</v>
      </c>
    </row>
    <row r="4" spans="1:13" s="317" customFormat="1" ht="13.5">
      <c r="A4" s="568" t="s">
        <v>654</v>
      </c>
      <c r="B4" s="569"/>
      <c r="C4" s="418" t="s">
        <v>655</v>
      </c>
      <c r="D4" s="419"/>
      <c r="E4" s="578" t="s">
        <v>436</v>
      </c>
      <c r="F4" s="578"/>
      <c r="G4" s="578"/>
      <c r="H4" s="578"/>
      <c r="I4" s="578"/>
      <c r="J4" s="578"/>
      <c r="K4" s="578"/>
      <c r="L4" s="578"/>
      <c r="M4" s="578"/>
    </row>
    <row r="5" spans="1:13" s="317" customFormat="1" ht="13.5">
      <c r="A5" s="570"/>
      <c r="B5" s="571"/>
      <c r="C5" s="420" t="s">
        <v>656</v>
      </c>
      <c r="D5" s="421"/>
      <c r="E5" s="579" t="s">
        <v>437</v>
      </c>
      <c r="F5" s="579"/>
      <c r="G5" s="579"/>
      <c r="H5" s="579"/>
      <c r="I5" s="579"/>
      <c r="J5" s="579"/>
      <c r="K5" s="579"/>
      <c r="L5" s="579"/>
      <c r="M5" s="579"/>
    </row>
    <row r="6" spans="1:13" s="317" customFormat="1" ht="13.5">
      <c r="A6" s="570"/>
      <c r="B6" s="571"/>
      <c r="C6" s="420" t="s">
        <v>408</v>
      </c>
      <c r="D6" s="421"/>
      <c r="E6" s="422">
        <v>2000</v>
      </c>
      <c r="F6" s="580"/>
      <c r="G6" s="581"/>
      <c r="H6" s="581"/>
      <c r="I6" s="581"/>
      <c r="J6" s="581"/>
      <c r="K6" s="581"/>
      <c r="L6" s="581"/>
      <c r="M6" s="581"/>
    </row>
    <row r="7" spans="1:10" s="429" customFormat="1" ht="15" customHeight="1">
      <c r="A7" s="570"/>
      <c r="B7" s="571"/>
      <c r="C7" s="423" t="s">
        <v>448</v>
      </c>
      <c r="D7" s="424"/>
      <c r="E7" s="425" t="s">
        <v>438</v>
      </c>
      <c r="F7" s="426" t="s">
        <v>46</v>
      </c>
      <c r="G7" s="427"/>
      <c r="H7" s="427"/>
      <c r="I7" s="427"/>
      <c r="J7" s="428"/>
    </row>
    <row r="8" spans="1:13" s="317" customFormat="1" ht="13.5">
      <c r="A8" s="572"/>
      <c r="B8" s="573"/>
      <c r="C8" s="430" t="s">
        <v>562</v>
      </c>
      <c r="D8" s="430"/>
      <c r="E8" s="431">
        <f>H8+L8</f>
        <v>2000</v>
      </c>
      <c r="F8" s="582" t="s">
        <v>22</v>
      </c>
      <c r="G8" s="582"/>
      <c r="H8" s="583">
        <v>1500</v>
      </c>
      <c r="I8" s="583"/>
      <c r="J8" s="582" t="s">
        <v>23</v>
      </c>
      <c r="K8" s="582"/>
      <c r="L8" s="583">
        <v>500</v>
      </c>
      <c r="M8" s="583"/>
    </row>
    <row r="9" spans="1:11" s="317" customFormat="1" ht="8.25" customHeight="1">
      <c r="A9" s="318"/>
      <c r="B9" s="432"/>
      <c r="C9" s="432"/>
      <c r="D9" s="432"/>
      <c r="E9" s="433"/>
      <c r="F9" s="433"/>
      <c r="G9" s="433"/>
      <c r="H9" s="433"/>
      <c r="I9" s="433"/>
      <c r="J9" s="433"/>
      <c r="K9" s="433"/>
    </row>
    <row r="10" spans="1:11" s="317" customFormat="1" ht="13.5">
      <c r="A10" s="568" t="s">
        <v>558</v>
      </c>
      <c r="B10" s="569"/>
      <c r="C10" s="434" t="s">
        <v>650</v>
      </c>
      <c r="D10" s="434"/>
      <c r="E10" s="435">
        <v>38367</v>
      </c>
      <c r="F10" s="433"/>
      <c r="G10" s="433"/>
      <c r="H10" s="433"/>
      <c r="I10" s="433"/>
      <c r="J10" s="433"/>
      <c r="K10" s="433"/>
    </row>
    <row r="11" spans="1:11" s="317" customFormat="1" ht="13.5">
      <c r="A11" s="570"/>
      <c r="B11" s="571"/>
      <c r="C11" s="434" t="s">
        <v>651</v>
      </c>
      <c r="D11" s="436"/>
      <c r="E11" s="437" t="s">
        <v>439</v>
      </c>
      <c r="F11" s="433"/>
      <c r="G11" s="433"/>
      <c r="H11" s="433"/>
      <c r="I11" s="433"/>
      <c r="J11" s="433"/>
      <c r="K11" s="433"/>
    </row>
    <row r="12" spans="1:11" s="317" customFormat="1" ht="13.5">
      <c r="A12" s="570"/>
      <c r="B12" s="571"/>
      <c r="C12" s="434" t="s">
        <v>652</v>
      </c>
      <c r="D12" s="434"/>
      <c r="E12" s="438" t="s">
        <v>173</v>
      </c>
      <c r="F12" s="433"/>
      <c r="G12" s="433"/>
      <c r="H12" s="433"/>
      <c r="I12" s="433"/>
      <c r="J12" s="433"/>
      <c r="K12" s="433"/>
    </row>
    <row r="13" spans="1:11" s="317" customFormat="1" ht="13.5">
      <c r="A13" s="570"/>
      <c r="B13" s="571"/>
      <c r="C13" s="574" t="s">
        <v>174</v>
      </c>
      <c r="D13" s="575"/>
      <c r="E13" s="439" t="s">
        <v>175</v>
      </c>
      <c r="F13" s="433"/>
      <c r="G13" s="433"/>
      <c r="H13" s="433"/>
      <c r="I13" s="433"/>
      <c r="J13" s="433"/>
      <c r="K13" s="433"/>
    </row>
    <row r="14" spans="1:11" s="317" customFormat="1" ht="13.5">
      <c r="A14" s="572"/>
      <c r="B14" s="573"/>
      <c r="C14" s="434" t="s">
        <v>653</v>
      </c>
      <c r="D14" s="434"/>
      <c r="E14" s="438" t="s">
        <v>173</v>
      </c>
      <c r="F14" s="433"/>
      <c r="G14" s="433"/>
      <c r="H14" s="433"/>
      <c r="I14" s="433"/>
      <c r="J14" s="433"/>
      <c r="K14" s="433"/>
    </row>
    <row r="16" spans="1:26" ht="16.5" customHeight="1">
      <c r="A16" s="13"/>
      <c r="H16" s="321"/>
      <c r="I16" s="321"/>
      <c r="J16" s="321"/>
      <c r="K16" s="321"/>
      <c r="L16" s="321"/>
      <c r="M16" s="321"/>
      <c r="Y16" s="63" t="s">
        <v>19</v>
      </c>
      <c r="Z16" s="64" t="s">
        <v>106</v>
      </c>
    </row>
    <row r="17" spans="1:26" ht="15.75" customHeight="1" thickBot="1">
      <c r="A17" s="258" t="s">
        <v>172</v>
      </c>
      <c r="H17" s="321"/>
      <c r="I17" s="321"/>
      <c r="J17" s="321"/>
      <c r="K17" s="321"/>
      <c r="L17" s="321"/>
      <c r="M17" s="321"/>
      <c r="O17" s="10">
        <v>1</v>
      </c>
      <c r="Y17" s="440">
        <f>'質問'!H8</f>
        <v>1500</v>
      </c>
      <c r="Z17" s="441">
        <f>'質問'!L8</f>
        <v>500</v>
      </c>
    </row>
    <row r="18" spans="1:27" ht="14.25" customHeight="1">
      <c r="A18" s="13"/>
      <c r="O18" s="442" t="s">
        <v>19</v>
      </c>
      <c r="P18" s="368"/>
      <c r="Q18" s="368"/>
      <c r="R18" s="368"/>
      <c r="S18" s="369"/>
      <c r="T18" s="442" t="s">
        <v>20</v>
      </c>
      <c r="U18" s="368"/>
      <c r="V18" s="368"/>
      <c r="W18" s="368"/>
      <c r="X18" s="61"/>
      <c r="Y18" s="60" t="s">
        <v>210</v>
      </c>
      <c r="Z18" s="60"/>
      <c r="AA18" s="61"/>
    </row>
    <row r="19" spans="1:27" s="13" customFormat="1" ht="13.5">
      <c r="A19" s="443" t="s">
        <v>657</v>
      </c>
      <c r="B19" s="14" t="s">
        <v>94</v>
      </c>
      <c r="C19" s="15"/>
      <c r="D19" s="15"/>
      <c r="E19" s="15"/>
      <c r="F19" s="538" t="s">
        <v>658</v>
      </c>
      <c r="G19" s="526"/>
      <c r="H19" s="526"/>
      <c r="I19" s="526"/>
      <c r="J19" s="526"/>
      <c r="K19" s="526"/>
      <c r="L19" s="526"/>
      <c r="M19" s="527"/>
      <c r="O19" s="445" t="s">
        <v>110</v>
      </c>
      <c r="P19" s="446" t="s">
        <v>176</v>
      </c>
      <c r="Q19" s="446" t="s">
        <v>114</v>
      </c>
      <c r="R19" s="446" t="s">
        <v>115</v>
      </c>
      <c r="S19" s="447" t="s">
        <v>660</v>
      </c>
      <c r="T19" s="445" t="s">
        <v>110</v>
      </c>
      <c r="U19" s="446" t="s">
        <v>176</v>
      </c>
      <c r="V19" s="446" t="s">
        <v>114</v>
      </c>
      <c r="W19" s="446" t="s">
        <v>115</v>
      </c>
      <c r="X19" s="447" t="s">
        <v>660</v>
      </c>
      <c r="Y19" s="448" t="s">
        <v>111</v>
      </c>
      <c r="Z19" s="446" t="s">
        <v>112</v>
      </c>
      <c r="AA19" s="447" t="s">
        <v>177</v>
      </c>
    </row>
    <row r="20" spans="1:27" s="13" customFormat="1" ht="14.25" thickBot="1">
      <c r="A20" s="446"/>
      <c r="B20" s="14"/>
      <c r="C20" s="15"/>
      <c r="D20" s="15"/>
      <c r="E20" s="15"/>
      <c r="F20" s="538" t="s">
        <v>19</v>
      </c>
      <c r="G20" s="526"/>
      <c r="H20" s="539"/>
      <c r="I20" s="527"/>
      <c r="J20" s="538" t="s">
        <v>20</v>
      </c>
      <c r="K20" s="526"/>
      <c r="L20" s="526"/>
      <c r="M20" s="527"/>
      <c r="O20" s="449"/>
      <c r="P20" s="450" t="s">
        <v>178</v>
      </c>
      <c r="Q20" s="450" t="s">
        <v>103</v>
      </c>
      <c r="R20" s="450" t="s">
        <v>116</v>
      </c>
      <c r="S20" s="451" t="s">
        <v>117</v>
      </c>
      <c r="T20" s="449"/>
      <c r="U20" s="450" t="s">
        <v>179</v>
      </c>
      <c r="V20" s="450" t="s">
        <v>103</v>
      </c>
      <c r="W20" s="450" t="s">
        <v>116</v>
      </c>
      <c r="X20" s="451" t="s">
        <v>117</v>
      </c>
      <c r="Y20" s="452"/>
      <c r="Z20" s="453"/>
      <c r="AA20" s="451" t="s">
        <v>179</v>
      </c>
    </row>
    <row r="21" spans="1:27" s="13" customFormat="1" ht="19.5" customHeight="1">
      <c r="A21" s="17" t="s">
        <v>446</v>
      </c>
      <c r="B21" s="540" t="s">
        <v>721</v>
      </c>
      <c r="C21" s="541"/>
      <c r="D21" s="542"/>
      <c r="E21" s="27" t="s">
        <v>711</v>
      </c>
      <c r="F21" s="335">
        <v>1</v>
      </c>
      <c r="G21" s="27" t="str">
        <f>IF(F21=1,"実施率","")</f>
        <v>実施率</v>
      </c>
      <c r="H21" s="341">
        <v>80</v>
      </c>
      <c r="I21" s="260" t="str">
        <f>IF(F21=1,"%程度","")</f>
        <v>%程度</v>
      </c>
      <c r="J21" s="335">
        <v>1</v>
      </c>
      <c r="K21" s="27" t="str">
        <f>IF(J21=1,"実施率","")</f>
        <v>実施率</v>
      </c>
      <c r="L21" s="341">
        <v>80</v>
      </c>
      <c r="M21" s="260" t="str">
        <f>IF(J21=1,"%程度","")</f>
        <v>%程度</v>
      </c>
      <c r="O21" s="70">
        <f>IF(F21=1,IF(H21&gt;0,F21*H21,100),IF(F21=2,0,""))</f>
        <v>80</v>
      </c>
      <c r="P21" s="454">
        <f>IF(F21="","",1)</f>
        <v>1</v>
      </c>
      <c r="Q21" s="454">
        <f>IF(F22=1,100,O21)</f>
        <v>100</v>
      </c>
      <c r="R21" s="454">
        <f>IF(F21="","",IF(H21&lt;&gt;100,1,""))</f>
        <v>1</v>
      </c>
      <c r="S21" s="71">
        <f>IF(F21=1,100,"")</f>
        <v>100</v>
      </c>
      <c r="T21" s="70">
        <f>IF(J21=1,IF(L21&gt;0,J21*L21,100),IF(J21=2,0,""))</f>
        <v>80</v>
      </c>
      <c r="U21" s="454">
        <f>IF(J21="","",1)</f>
        <v>1</v>
      </c>
      <c r="V21" s="454">
        <f>IF(J22=1,100,T21)</f>
        <v>100</v>
      </c>
      <c r="W21" s="454">
        <f>IF(J21="","",IF(L21&lt;&gt;100,1,""))</f>
        <v>1</v>
      </c>
      <c r="X21" s="71">
        <f>IF(J21=1,100,"")</f>
        <v>100</v>
      </c>
      <c r="Y21" s="67">
        <f>IF(AND(P21="",U21=""),"",(IF(P21="",0,O21*Y$17)+IF(U21="",0,T21*Z$17))/(IF(P21=22,0,Y$17)+IF(U21="",0,Z$17)))</f>
        <v>80</v>
      </c>
      <c r="Z21" s="454">
        <f>IF(AND(P21="",U21=""),"",(IF(P21="",0,Q21*Y$17)+IF(U21="",0,V21*Z$17))/(IF(P21=22,0,Y$17)+IF(U21="",0,Z$17)))</f>
        <v>100</v>
      </c>
      <c r="AA21" s="71">
        <f>IF(AND(P21="",U21=""),"",1)</f>
        <v>1</v>
      </c>
    </row>
    <row r="22" spans="1:27" s="13" customFormat="1" ht="31.5" customHeight="1">
      <c r="A22" s="455"/>
      <c r="B22" s="549" t="s">
        <v>543</v>
      </c>
      <c r="C22" s="550"/>
      <c r="D22" s="550"/>
      <c r="E22" s="550"/>
      <c r="F22" s="524">
        <v>1</v>
      </c>
      <c r="G22" s="405"/>
      <c r="H22" s="55"/>
      <c r="I22" s="406"/>
      <c r="J22" s="524">
        <v>1</v>
      </c>
      <c r="K22" s="405"/>
      <c r="L22" s="55"/>
      <c r="M22" s="406"/>
      <c r="O22" s="72"/>
      <c r="P22" s="455"/>
      <c r="Q22" s="455"/>
      <c r="R22" s="455">
        <f>IF(F21="","",IF(H21&lt;&gt;100,2,""))</f>
        <v>2</v>
      </c>
      <c r="S22" s="73">
        <f>IF(F21=1,80,"")</f>
        <v>80</v>
      </c>
      <c r="T22" s="72"/>
      <c r="U22" s="455"/>
      <c r="V22" s="455"/>
      <c r="W22" s="455">
        <f>IF(J21="","",IF(L21&lt;&gt;100,2,""))</f>
        <v>2</v>
      </c>
      <c r="X22" s="73">
        <f>IF(J21=1,80,"")</f>
        <v>80</v>
      </c>
      <c r="Y22" s="57"/>
      <c r="Z22" s="455"/>
      <c r="AA22" s="73"/>
    </row>
    <row r="23" spans="1:27" s="13" customFormat="1" ht="13.5">
      <c r="A23" s="455"/>
      <c r="B23" s="456"/>
      <c r="C23" s="457" t="s">
        <v>180</v>
      </c>
      <c r="D23" s="370" t="s">
        <v>24</v>
      </c>
      <c r="E23" s="458"/>
      <c r="F23" s="535"/>
      <c r="G23" s="56"/>
      <c r="H23" s="29"/>
      <c r="I23" s="57"/>
      <c r="J23" s="535"/>
      <c r="K23" s="56"/>
      <c r="L23" s="29"/>
      <c r="M23" s="57"/>
      <c r="O23" s="72"/>
      <c r="P23" s="455"/>
      <c r="Q23" s="455"/>
      <c r="R23" s="455">
        <f>IF(F21="","",IF(H21&lt;&gt;100,3,""))</f>
        <v>3</v>
      </c>
      <c r="S23" s="73">
        <f>IF(F21=1,60,"")</f>
        <v>60</v>
      </c>
      <c r="T23" s="72"/>
      <c r="U23" s="455"/>
      <c r="V23" s="455"/>
      <c r="W23" s="455">
        <f>IF(J21="","",IF(L21&lt;&gt;100,3,""))</f>
        <v>3</v>
      </c>
      <c r="X23" s="73">
        <f>IF(J21=1,60,"")</f>
        <v>60</v>
      </c>
      <c r="Y23" s="57"/>
      <c r="Z23" s="455"/>
      <c r="AA23" s="73"/>
    </row>
    <row r="24" spans="1:27" s="13" customFormat="1" ht="13.5">
      <c r="A24" s="455"/>
      <c r="B24" s="456"/>
      <c r="C24" s="457" t="s">
        <v>661</v>
      </c>
      <c r="D24" s="370" t="s">
        <v>181</v>
      </c>
      <c r="E24" s="458"/>
      <c r="F24" s="525"/>
      <c r="G24" s="408"/>
      <c r="H24" s="407"/>
      <c r="I24" s="409"/>
      <c r="J24" s="525"/>
      <c r="K24" s="408"/>
      <c r="L24" s="407"/>
      <c r="M24" s="409"/>
      <c r="O24" s="72"/>
      <c r="P24" s="455"/>
      <c r="Q24" s="455"/>
      <c r="R24" s="455"/>
      <c r="S24" s="73">
        <f>IF(F21=1,40,"")</f>
        <v>40</v>
      </c>
      <c r="T24" s="72"/>
      <c r="U24" s="455"/>
      <c r="V24" s="455"/>
      <c r="W24" s="455"/>
      <c r="X24" s="73">
        <f>IF(J21=1,40,"")</f>
        <v>40</v>
      </c>
      <c r="Y24" s="57"/>
      <c r="Z24" s="455"/>
      <c r="AA24" s="73"/>
    </row>
    <row r="25" spans="1:27" s="13" customFormat="1" ht="13.5">
      <c r="A25" s="455"/>
      <c r="B25" s="408"/>
      <c r="C25" s="457" t="s">
        <v>662</v>
      </c>
      <c r="D25" s="370" t="s">
        <v>361</v>
      </c>
      <c r="E25" s="459"/>
      <c r="F25" s="532"/>
      <c r="G25" s="533"/>
      <c r="H25" s="533"/>
      <c r="I25" s="534"/>
      <c r="J25" s="532"/>
      <c r="K25" s="533"/>
      <c r="L25" s="533"/>
      <c r="M25" s="534"/>
      <c r="O25" s="460"/>
      <c r="P25" s="461"/>
      <c r="Q25" s="461"/>
      <c r="R25" s="461"/>
      <c r="S25" s="462">
        <f>IF(F21=1,20,"")</f>
        <v>20</v>
      </c>
      <c r="T25" s="72"/>
      <c r="U25" s="455"/>
      <c r="V25" s="461"/>
      <c r="W25" s="461"/>
      <c r="X25" s="462">
        <f>IF(J21=1,20,"")</f>
        <v>20</v>
      </c>
      <c r="Y25" s="409"/>
      <c r="Z25" s="461"/>
      <c r="AA25" s="462"/>
    </row>
    <row r="26" spans="1:27" s="13" customFormat="1" ht="30.75" customHeight="1">
      <c r="A26" s="455"/>
      <c r="B26" s="540" t="s">
        <v>722</v>
      </c>
      <c r="C26" s="541"/>
      <c r="D26" s="542"/>
      <c r="E26" s="27" t="s">
        <v>663</v>
      </c>
      <c r="F26" s="335">
        <v>1</v>
      </c>
      <c r="G26" s="27" t="str">
        <f>IF(F26=1,"実施率","")</f>
        <v>実施率</v>
      </c>
      <c r="H26" s="341">
        <v>80</v>
      </c>
      <c r="I26" s="260" t="str">
        <f>IF(F26=1,"%程度","")</f>
        <v>%程度</v>
      </c>
      <c r="J26" s="335">
        <v>1</v>
      </c>
      <c r="K26" s="27" t="str">
        <f>IF(J26=1,"実施率","")</f>
        <v>実施率</v>
      </c>
      <c r="L26" s="341">
        <v>80</v>
      </c>
      <c r="M26" s="260" t="str">
        <f>IF(J26=1,"%程度","")</f>
        <v>%程度</v>
      </c>
      <c r="O26" s="463">
        <f>IF(F26=1,IF(H26&gt;0,F26*H26,100),IF(F26=2,0,""))</f>
        <v>80</v>
      </c>
      <c r="P26" s="464">
        <f>IF(F26="","",1)</f>
        <v>1</v>
      </c>
      <c r="Q26" s="464">
        <f>IF(F27=1,100,O26)</f>
        <v>100</v>
      </c>
      <c r="R26" s="464">
        <f>IF(F26="","",IF(H26&lt;&gt;100,1,""))</f>
        <v>1</v>
      </c>
      <c r="S26" s="465">
        <f>IF(F26=1,100,"")</f>
        <v>100</v>
      </c>
      <c r="T26" s="463">
        <f>IF(J26=1,IF(L26&gt;0,J26*L26,100),IF(J26=2,0,""))</f>
        <v>80</v>
      </c>
      <c r="U26" s="464">
        <f>IF(J26="","",1)</f>
        <v>1</v>
      </c>
      <c r="V26" s="464">
        <f>IF(J27=1,100,T26)</f>
        <v>80</v>
      </c>
      <c r="W26" s="464">
        <f>IF(J26="","",IF(L26&lt;&gt;100,1,""))</f>
        <v>1</v>
      </c>
      <c r="X26" s="465">
        <f>IF(J26=1,100,"")</f>
        <v>100</v>
      </c>
      <c r="Y26" s="406">
        <f>IF(AND(P26="",U26=""),"",(IF(P26="",0,O26*Y$17)+IF(U26="",0,T26*Z$17))/(IF(P26=22,0,Y$17)+IF(U26="",0,Z$17)))</f>
        <v>80</v>
      </c>
      <c r="Z26" s="464">
        <f>IF(AND(P26="",U26=""),"",(IF(P26="",0,Q26*Y$17)+IF(U26="",0,V26*Z$17))/(IF(P26=22,0,Y$17)+IF(U26="",0,Z$17)))</f>
        <v>95</v>
      </c>
      <c r="AA26" s="465">
        <f>IF(AND(P26="",U26=""),"",1)</f>
        <v>1</v>
      </c>
    </row>
    <row r="27" spans="1:27" s="13" customFormat="1" ht="31.5" customHeight="1">
      <c r="A27" s="455"/>
      <c r="B27" s="549" t="s">
        <v>544</v>
      </c>
      <c r="C27" s="550"/>
      <c r="D27" s="550"/>
      <c r="E27" s="550"/>
      <c r="F27" s="524">
        <v>1</v>
      </c>
      <c r="G27" s="405"/>
      <c r="H27" s="55"/>
      <c r="I27" s="406"/>
      <c r="J27" s="524">
        <v>3</v>
      </c>
      <c r="K27" s="405"/>
      <c r="L27" s="55"/>
      <c r="M27" s="406"/>
      <c r="O27" s="72"/>
      <c r="P27" s="455"/>
      <c r="Q27" s="455"/>
      <c r="R27" s="455">
        <f>IF(F26="","",IF(H26&lt;&gt;100,2,""))</f>
        <v>2</v>
      </c>
      <c r="S27" s="73">
        <f>IF(F26=1,80,"")</f>
        <v>80</v>
      </c>
      <c r="T27" s="72"/>
      <c r="U27" s="455"/>
      <c r="V27" s="455"/>
      <c r="W27" s="455">
        <f>IF(J26="","",IF(L26&lt;&gt;100,2,""))</f>
        <v>2</v>
      </c>
      <c r="X27" s="73">
        <f>IF(J26=1,80,"")</f>
        <v>80</v>
      </c>
      <c r="Y27" s="57"/>
      <c r="Z27" s="455"/>
      <c r="AA27" s="73"/>
    </row>
    <row r="28" spans="1:27" s="13" customFormat="1" ht="15" customHeight="1">
      <c r="A28" s="455"/>
      <c r="B28" s="456"/>
      <c r="C28" s="457" t="s">
        <v>180</v>
      </c>
      <c r="D28" s="370" t="s">
        <v>24</v>
      </c>
      <c r="E28" s="458"/>
      <c r="F28" s="535"/>
      <c r="G28" s="56"/>
      <c r="H28" s="466"/>
      <c r="I28" s="467"/>
      <c r="J28" s="535"/>
      <c r="K28" s="56"/>
      <c r="L28" s="466"/>
      <c r="M28" s="467"/>
      <c r="O28" s="72"/>
      <c r="P28" s="455"/>
      <c r="Q28" s="455"/>
      <c r="R28" s="455">
        <f>IF(F26="","",IF(H26&lt;&gt;100,3,""))</f>
        <v>3</v>
      </c>
      <c r="S28" s="73">
        <f>IF(F26=1,60,"")</f>
        <v>60</v>
      </c>
      <c r="T28" s="72"/>
      <c r="U28" s="455"/>
      <c r="V28" s="455"/>
      <c r="W28" s="455">
        <f>IF(J26="","",IF(L26&lt;&gt;100,3,""))</f>
        <v>3</v>
      </c>
      <c r="X28" s="73">
        <f>IF(J26=1,60,"")</f>
        <v>60</v>
      </c>
      <c r="Y28" s="57"/>
      <c r="Z28" s="455"/>
      <c r="AA28" s="73"/>
    </row>
    <row r="29" spans="1:27" s="13" customFormat="1" ht="16.5" customHeight="1">
      <c r="A29" s="455"/>
      <c r="B29" s="456"/>
      <c r="C29" s="457" t="s">
        <v>661</v>
      </c>
      <c r="D29" s="370" t="s">
        <v>182</v>
      </c>
      <c r="E29" s="458"/>
      <c r="F29" s="535"/>
      <c r="G29" s="56"/>
      <c r="H29" s="466"/>
      <c r="I29" s="467"/>
      <c r="J29" s="535"/>
      <c r="K29" s="56"/>
      <c r="L29" s="466"/>
      <c r="M29" s="467"/>
      <c r="O29" s="72"/>
      <c r="P29" s="455"/>
      <c r="Q29" s="455"/>
      <c r="R29" s="455">
        <f>IF(F26="","",IF(H26&lt;&gt;100,4,""))</f>
        <v>4</v>
      </c>
      <c r="S29" s="73">
        <f>IF(F26=1,40,"")</f>
        <v>40</v>
      </c>
      <c r="T29" s="72"/>
      <c r="U29" s="455"/>
      <c r="V29" s="455"/>
      <c r="W29" s="455">
        <f>IF(J26="","",IF(L26&lt;&gt;100,4,""))</f>
        <v>4</v>
      </c>
      <c r="X29" s="73">
        <f>IF(J26=1,40,"")</f>
        <v>40</v>
      </c>
      <c r="Y29" s="57"/>
      <c r="Z29" s="455"/>
      <c r="AA29" s="73"/>
    </row>
    <row r="30" spans="1:27" s="13" customFormat="1" ht="13.5">
      <c r="A30" s="455"/>
      <c r="B30" s="56"/>
      <c r="C30" s="457" t="s">
        <v>662</v>
      </c>
      <c r="D30" s="576" t="s">
        <v>183</v>
      </c>
      <c r="E30" s="577"/>
      <c r="F30" s="525"/>
      <c r="G30" s="408"/>
      <c r="H30" s="466"/>
      <c r="I30" s="467"/>
      <c r="J30" s="525"/>
      <c r="K30" s="408"/>
      <c r="L30" s="466"/>
      <c r="M30" s="467"/>
      <c r="O30" s="460"/>
      <c r="P30" s="461"/>
      <c r="Q30" s="461"/>
      <c r="R30" s="461"/>
      <c r="S30" s="462">
        <f>IF(F26=1,20,"")</f>
        <v>20</v>
      </c>
      <c r="T30" s="460"/>
      <c r="U30" s="461"/>
      <c r="V30" s="461"/>
      <c r="W30" s="461"/>
      <c r="X30" s="462">
        <f>IF(J26=1,20,"")</f>
        <v>20</v>
      </c>
      <c r="Y30" s="409"/>
      <c r="Z30" s="461"/>
      <c r="AA30" s="462"/>
    </row>
    <row r="31" spans="1:27" s="13" customFormat="1" ht="13.5">
      <c r="A31" s="455"/>
      <c r="B31" s="408"/>
      <c r="C31" s="468" t="s">
        <v>664</v>
      </c>
      <c r="D31" s="370" t="s">
        <v>361</v>
      </c>
      <c r="E31" s="459"/>
      <c r="F31" s="532"/>
      <c r="G31" s="533"/>
      <c r="H31" s="533"/>
      <c r="I31" s="534"/>
      <c r="J31" s="532"/>
      <c r="K31" s="533"/>
      <c r="L31" s="533"/>
      <c r="M31" s="534"/>
      <c r="O31" s="30"/>
      <c r="P31" s="29"/>
      <c r="Q31" s="29"/>
      <c r="R31" s="29"/>
      <c r="S31" s="31"/>
      <c r="T31" s="30"/>
      <c r="U31" s="29"/>
      <c r="V31" s="29"/>
      <c r="W31" s="29"/>
      <c r="X31" s="31"/>
      <c r="Y31" s="29"/>
      <c r="Z31" s="29"/>
      <c r="AA31" s="31"/>
    </row>
    <row r="32" spans="1:27" s="13" customFormat="1" ht="18.75" customHeight="1">
      <c r="A32" s="455"/>
      <c r="B32" s="540" t="s">
        <v>723</v>
      </c>
      <c r="C32" s="541"/>
      <c r="D32" s="542"/>
      <c r="E32" s="27" t="s">
        <v>712</v>
      </c>
      <c r="F32" s="335">
        <v>1</v>
      </c>
      <c r="G32" s="27" t="str">
        <f>IF(F32=1,"実施率","")</f>
        <v>実施率</v>
      </c>
      <c r="H32" s="341">
        <v>80</v>
      </c>
      <c r="I32" s="260" t="str">
        <f>IF(F32=1,"%程度","")</f>
        <v>%程度</v>
      </c>
      <c r="J32" s="335">
        <v>1</v>
      </c>
      <c r="K32" s="27" t="str">
        <f>IF(J32=1,"実施率","")</f>
        <v>実施率</v>
      </c>
      <c r="L32" s="341">
        <v>20</v>
      </c>
      <c r="M32" s="260" t="str">
        <f>IF(J32=1,"%程度","")</f>
        <v>%程度</v>
      </c>
      <c r="O32" s="463">
        <f>IF(F32=1,IF(H32&gt;0,F32*H32,100),IF(F32=2,0,""))</f>
        <v>80</v>
      </c>
      <c r="P32" s="464">
        <f>IF(F32="","",1)</f>
        <v>1</v>
      </c>
      <c r="Q32" s="464">
        <f>IF(F33=1,100,O32)</f>
        <v>100</v>
      </c>
      <c r="R32" s="464">
        <f>IF(F32="","",IF(H32&lt;&gt;100,1,""))</f>
        <v>1</v>
      </c>
      <c r="S32" s="465">
        <f>IF(F32=1,100,"")</f>
        <v>100</v>
      </c>
      <c r="T32" s="463">
        <f>IF(J32=1,IF(L32&gt;0,J32*L32,100),IF(J32=2,0,""))</f>
        <v>20</v>
      </c>
      <c r="U32" s="464">
        <f>IF(J32="","",1)</f>
        <v>1</v>
      </c>
      <c r="V32" s="464">
        <f>IF(J33=1,100,T32)</f>
        <v>100</v>
      </c>
      <c r="W32" s="464">
        <f>IF(J32="","",IF(L32&lt;&gt;100,1,""))</f>
        <v>1</v>
      </c>
      <c r="X32" s="465">
        <f>IF(J32=1,100,"")</f>
        <v>100</v>
      </c>
      <c r="Y32" s="406">
        <f>IF(AND(P32="",U32=""),"",(IF(P32="",0,O32*Y$17)+IF(U32="",0,T32*Z$17))/(IF(P32=22,0,Y$17)+IF(U32="",0,Z$17)))</f>
        <v>65</v>
      </c>
      <c r="Z32" s="464">
        <f>IF(AND(P32="",U32=""),"",(IF(P32="",0,Q32*Y$17)+IF(U32="",0,V32*Z$17))/(IF(P32=22,0,Y$17)+IF(U32="",0,Z$17)))</f>
        <v>100</v>
      </c>
      <c r="AA32" s="465">
        <f>IF(AND(P32="",U32=""),"",1)</f>
        <v>1</v>
      </c>
    </row>
    <row r="33" spans="1:27" s="13" customFormat="1" ht="31.5" customHeight="1">
      <c r="A33" s="455"/>
      <c r="B33" s="549" t="s">
        <v>545</v>
      </c>
      <c r="C33" s="550"/>
      <c r="D33" s="550"/>
      <c r="E33" s="550"/>
      <c r="F33" s="524">
        <v>1</v>
      </c>
      <c r="G33" s="405"/>
      <c r="H33" s="29"/>
      <c r="I33" s="406"/>
      <c r="J33" s="524">
        <v>1</v>
      </c>
      <c r="K33" s="405"/>
      <c r="L33" s="29"/>
      <c r="M33" s="406"/>
      <c r="O33" s="72"/>
      <c r="P33" s="455"/>
      <c r="Q33" s="455"/>
      <c r="R33" s="455">
        <f>IF(F32="","",IF(H32&lt;&gt;100,2,""))</f>
        <v>2</v>
      </c>
      <c r="S33" s="73">
        <f>IF(F32=1,80,"")</f>
        <v>80</v>
      </c>
      <c r="T33" s="72"/>
      <c r="U33" s="455"/>
      <c r="V33" s="455"/>
      <c r="W33" s="455">
        <f>IF(J32="","",IF(L32&lt;&gt;100,2,""))</f>
        <v>2</v>
      </c>
      <c r="X33" s="73">
        <f>IF(J32=1,80,"")</f>
        <v>80</v>
      </c>
      <c r="Y33" s="57"/>
      <c r="Z33" s="455"/>
      <c r="AA33" s="73"/>
    </row>
    <row r="34" spans="1:27" s="13" customFormat="1" ht="14.25" customHeight="1">
      <c r="A34" s="455"/>
      <c r="B34" s="456"/>
      <c r="C34" s="457" t="s">
        <v>180</v>
      </c>
      <c r="D34" s="370" t="s">
        <v>24</v>
      </c>
      <c r="E34" s="458"/>
      <c r="F34" s="535"/>
      <c r="G34" s="56"/>
      <c r="H34" s="29"/>
      <c r="I34" s="57"/>
      <c r="J34" s="535"/>
      <c r="K34" s="56"/>
      <c r="L34" s="29"/>
      <c r="M34" s="57"/>
      <c r="O34" s="72"/>
      <c r="P34" s="455"/>
      <c r="Q34" s="455"/>
      <c r="R34" s="455">
        <f>IF(F32="","",IF(H32&lt;&gt;100,3,""))</f>
        <v>3</v>
      </c>
      <c r="S34" s="73">
        <f>IF(F32=1,60,"")</f>
        <v>60</v>
      </c>
      <c r="T34" s="72"/>
      <c r="U34" s="455"/>
      <c r="V34" s="455"/>
      <c r="W34" s="455">
        <f>IF(J32="","",IF(L32&lt;&gt;100,3,""))</f>
        <v>3</v>
      </c>
      <c r="X34" s="73">
        <f>IF(J32=1,60,"")</f>
        <v>60</v>
      </c>
      <c r="Y34" s="57"/>
      <c r="Z34" s="455"/>
      <c r="AA34" s="73"/>
    </row>
    <row r="35" spans="1:27" s="13" customFormat="1" ht="13.5">
      <c r="A35" s="455"/>
      <c r="B35" s="456"/>
      <c r="C35" s="457" t="s">
        <v>661</v>
      </c>
      <c r="D35" s="370" t="s">
        <v>690</v>
      </c>
      <c r="E35" s="458"/>
      <c r="F35" s="525"/>
      <c r="G35" s="408"/>
      <c r="H35" s="29"/>
      <c r="I35" s="57"/>
      <c r="J35" s="525"/>
      <c r="K35" s="408"/>
      <c r="L35" s="29"/>
      <c r="M35" s="57"/>
      <c r="O35" s="460"/>
      <c r="P35" s="461"/>
      <c r="Q35" s="461"/>
      <c r="R35" s="461"/>
      <c r="S35" s="462">
        <f>IF(F32=1,40,"")</f>
        <v>40</v>
      </c>
      <c r="T35" s="460"/>
      <c r="U35" s="461"/>
      <c r="V35" s="461"/>
      <c r="W35" s="461"/>
      <c r="X35" s="462">
        <f>IF(J32=1,40,"")</f>
        <v>40</v>
      </c>
      <c r="Y35" s="409"/>
      <c r="Z35" s="461"/>
      <c r="AA35" s="462"/>
    </row>
    <row r="36" spans="1:27" s="13" customFormat="1" ht="13.5">
      <c r="A36" s="455"/>
      <c r="B36" s="408"/>
      <c r="C36" s="457" t="s">
        <v>662</v>
      </c>
      <c r="D36" s="370" t="s">
        <v>361</v>
      </c>
      <c r="E36" s="459"/>
      <c r="F36" s="532"/>
      <c r="G36" s="533"/>
      <c r="H36" s="533"/>
      <c r="I36" s="534"/>
      <c r="J36" s="532"/>
      <c r="K36" s="533"/>
      <c r="L36" s="533"/>
      <c r="M36" s="534"/>
      <c r="O36" s="30"/>
      <c r="P36" s="29"/>
      <c r="Q36" s="29"/>
      <c r="R36" s="29"/>
      <c r="S36" s="31">
        <f>IF(F32=1,20,"")</f>
        <v>20</v>
      </c>
      <c r="T36" s="30"/>
      <c r="U36" s="29"/>
      <c r="V36" s="29"/>
      <c r="W36" s="29"/>
      <c r="X36" s="31">
        <f>IF(J32=1,20,"")</f>
        <v>20</v>
      </c>
      <c r="Y36" s="29"/>
      <c r="Z36" s="29"/>
      <c r="AA36" s="31"/>
    </row>
    <row r="37" spans="1:27" s="13" customFormat="1" ht="18.75" customHeight="1">
      <c r="A37" s="455"/>
      <c r="B37" s="540" t="s">
        <v>724</v>
      </c>
      <c r="C37" s="541"/>
      <c r="D37" s="542"/>
      <c r="E37" s="27" t="s">
        <v>713</v>
      </c>
      <c r="F37" s="335">
        <v>1</v>
      </c>
      <c r="G37" s="27" t="str">
        <f>IF(F37=1,"実施率","")</f>
        <v>実施率</v>
      </c>
      <c r="H37" s="341">
        <v>80</v>
      </c>
      <c r="I37" s="260" t="str">
        <f>IF(F37=1,"%程度","")</f>
        <v>%程度</v>
      </c>
      <c r="J37" s="335">
        <v>1</v>
      </c>
      <c r="K37" s="27" t="str">
        <f>IF(J37=1,"実施率","")</f>
        <v>実施率</v>
      </c>
      <c r="L37" s="341">
        <v>80</v>
      </c>
      <c r="M37" s="260" t="str">
        <f>IF(J37=1,"%程度","")</f>
        <v>%程度</v>
      </c>
      <c r="O37" s="463">
        <f>IF(F37=1,IF(H37&gt;0,F37*H37,100),IF(F37=2,0,""))</f>
        <v>80</v>
      </c>
      <c r="P37" s="464">
        <f>IF(F37="","",1)</f>
        <v>1</v>
      </c>
      <c r="Q37" s="464">
        <f>IF(F38=1,100,O37)</f>
        <v>100</v>
      </c>
      <c r="R37" s="464">
        <f>IF(F37="","",IF(H37&lt;&gt;100,1,""))</f>
        <v>1</v>
      </c>
      <c r="S37" s="465">
        <f>IF(F37=1,100,"")</f>
        <v>100</v>
      </c>
      <c r="T37" s="463">
        <f>IF(J37=1,IF(L37&gt;0,J37*L37,100),IF(J37=2,0,""))</f>
        <v>80</v>
      </c>
      <c r="U37" s="464">
        <f>IF(J37="","",1)</f>
        <v>1</v>
      </c>
      <c r="V37" s="464">
        <f>IF(J38=1,100,T37)</f>
        <v>80</v>
      </c>
      <c r="W37" s="464">
        <f>IF(J37="","",IF(L37&lt;&gt;100,1,""))</f>
        <v>1</v>
      </c>
      <c r="X37" s="465">
        <f>IF(J37=1,100,"")</f>
        <v>100</v>
      </c>
      <c r="Y37" s="406">
        <f>IF(AND(P37="",U37=""),"",(IF(P37="",0,O37*Y$17)+IF(U37="",0,T37*Z$17))/(IF(P37=22,0,Y$17)+IF(U37="",0,Z$17)))</f>
        <v>80</v>
      </c>
      <c r="Z37" s="464">
        <f>IF(AND(P37="",U37=""),"",(IF(P37="",0,Q37*Y$17)+IF(U37="",0,V37*Z$17))/(IF(P37=22,0,Y$17)+IF(U37="",0,Z$17)))</f>
        <v>95</v>
      </c>
      <c r="AA37" s="465">
        <f>IF(AND(P37="",U37=""),"",1)</f>
        <v>1</v>
      </c>
    </row>
    <row r="38" spans="1:27" s="13" customFormat="1" ht="30" customHeight="1">
      <c r="A38" s="455"/>
      <c r="B38" s="549" t="s">
        <v>546</v>
      </c>
      <c r="C38" s="550"/>
      <c r="D38" s="550"/>
      <c r="E38" s="550"/>
      <c r="F38" s="524">
        <v>1</v>
      </c>
      <c r="G38" s="405"/>
      <c r="H38" s="55"/>
      <c r="I38" s="406"/>
      <c r="J38" s="524">
        <v>2</v>
      </c>
      <c r="K38" s="405"/>
      <c r="L38" s="55"/>
      <c r="M38" s="406"/>
      <c r="O38" s="72"/>
      <c r="P38" s="455"/>
      <c r="Q38" s="455"/>
      <c r="R38" s="455">
        <f>IF(F37="","",IF(H37&lt;&gt;100,2,""))</f>
        <v>2</v>
      </c>
      <c r="S38" s="73">
        <f>IF(F37=1,80,"")</f>
        <v>80</v>
      </c>
      <c r="T38" s="72"/>
      <c r="U38" s="455"/>
      <c r="V38" s="455"/>
      <c r="W38" s="455">
        <f>IF(J37="","",IF(L37&lt;&gt;100,2,""))</f>
        <v>2</v>
      </c>
      <c r="X38" s="73">
        <f>IF(J37=1,80,"")</f>
        <v>80</v>
      </c>
      <c r="Y38" s="57"/>
      <c r="Z38" s="455"/>
      <c r="AA38" s="73"/>
    </row>
    <row r="39" spans="1:27" s="13" customFormat="1" ht="13.5">
      <c r="A39" s="455"/>
      <c r="B39" s="456"/>
      <c r="C39" s="457" t="s">
        <v>180</v>
      </c>
      <c r="D39" s="370" t="s">
        <v>24</v>
      </c>
      <c r="E39" s="458"/>
      <c r="F39" s="525"/>
      <c r="G39" s="408"/>
      <c r="H39" s="407"/>
      <c r="I39" s="409"/>
      <c r="J39" s="525"/>
      <c r="K39" s="408"/>
      <c r="L39" s="407"/>
      <c r="M39" s="409"/>
      <c r="O39" s="72"/>
      <c r="P39" s="455"/>
      <c r="Q39" s="455"/>
      <c r="R39" s="455"/>
      <c r="S39" s="73">
        <f>IF(F37=1,60,"")</f>
        <v>60</v>
      </c>
      <c r="T39" s="72"/>
      <c r="U39" s="455"/>
      <c r="V39" s="455"/>
      <c r="W39" s="455"/>
      <c r="X39" s="73">
        <f>IF(J37=1,60,"")</f>
        <v>60</v>
      </c>
      <c r="Y39" s="57"/>
      <c r="Z39" s="455"/>
      <c r="AA39" s="73"/>
    </row>
    <row r="40" spans="1:27" s="13" customFormat="1" ht="13.5">
      <c r="A40" s="455"/>
      <c r="B40" s="56"/>
      <c r="C40" s="457" t="s">
        <v>661</v>
      </c>
      <c r="D40" s="370" t="s">
        <v>361</v>
      </c>
      <c r="E40" s="466"/>
      <c r="F40" s="543"/>
      <c r="G40" s="544"/>
      <c r="H40" s="544"/>
      <c r="I40" s="545"/>
      <c r="J40" s="543"/>
      <c r="K40" s="544"/>
      <c r="L40" s="544"/>
      <c r="M40" s="545"/>
      <c r="O40" s="72"/>
      <c r="P40" s="455"/>
      <c r="Q40" s="455"/>
      <c r="R40" s="455"/>
      <c r="S40" s="73">
        <f>IF(F37=1,40,"")</f>
        <v>40</v>
      </c>
      <c r="T40" s="72"/>
      <c r="U40" s="455"/>
      <c r="V40" s="455"/>
      <c r="W40" s="455"/>
      <c r="X40" s="73">
        <f>IF(J37=1,40,"")</f>
        <v>40</v>
      </c>
      <c r="Y40" s="57"/>
      <c r="Z40" s="455"/>
      <c r="AA40" s="73"/>
    </row>
    <row r="41" spans="1:27" s="13" customFormat="1" ht="13.5">
      <c r="A41" s="455"/>
      <c r="B41" s="408"/>
      <c r="C41" s="468"/>
      <c r="D41" s="370"/>
      <c r="E41" s="459"/>
      <c r="F41" s="546"/>
      <c r="G41" s="547"/>
      <c r="H41" s="547"/>
      <c r="I41" s="548"/>
      <c r="J41" s="546"/>
      <c r="K41" s="547"/>
      <c r="L41" s="547"/>
      <c r="M41" s="548"/>
      <c r="O41" s="460"/>
      <c r="P41" s="461"/>
      <c r="Q41" s="461"/>
      <c r="R41" s="461"/>
      <c r="S41" s="462">
        <f>IF(F37=1,20,"")</f>
        <v>20</v>
      </c>
      <c r="T41" s="460"/>
      <c r="U41" s="461"/>
      <c r="V41" s="461"/>
      <c r="W41" s="461"/>
      <c r="X41" s="462">
        <f>IF(J37=1,20,"")</f>
        <v>20</v>
      </c>
      <c r="Y41" s="409"/>
      <c r="Z41" s="461"/>
      <c r="AA41" s="462"/>
    </row>
    <row r="42" spans="1:27" s="13" customFormat="1" ht="16.5" customHeight="1">
      <c r="A42" s="455"/>
      <c r="B42" s="540" t="s">
        <v>725</v>
      </c>
      <c r="C42" s="541"/>
      <c r="D42" s="542"/>
      <c r="E42" s="27" t="s">
        <v>665</v>
      </c>
      <c r="F42" s="335">
        <v>1</v>
      </c>
      <c r="G42" s="27" t="str">
        <f>IF(F42=1,"実施率","")</f>
        <v>実施率</v>
      </c>
      <c r="H42" s="341">
        <v>80</v>
      </c>
      <c r="I42" s="260" t="str">
        <f>IF(F42=1,"%程度","")</f>
        <v>%程度</v>
      </c>
      <c r="J42" s="335">
        <v>1</v>
      </c>
      <c r="K42" s="27" t="str">
        <f>IF(J42=1,"実施率","")</f>
        <v>実施率</v>
      </c>
      <c r="L42" s="341">
        <v>80</v>
      </c>
      <c r="M42" s="260" t="str">
        <f>IF(J42=1,"%程度","")</f>
        <v>%程度</v>
      </c>
      <c r="O42" s="463">
        <f>IF(F42=1,IF(H42&gt;0,F42*H42,100),IF(F42=2,0,""))</f>
        <v>80</v>
      </c>
      <c r="P42" s="464">
        <f>IF(F42="","",1)</f>
        <v>1</v>
      </c>
      <c r="Q42" s="464">
        <f>IF(F43=1,100,O42)</f>
        <v>100</v>
      </c>
      <c r="R42" s="464">
        <f>IF(F42="","",IF(H42&lt;&gt;100,1,""))</f>
        <v>1</v>
      </c>
      <c r="S42" s="465">
        <f>IF(F42=1,100,"")</f>
        <v>100</v>
      </c>
      <c r="T42" s="463">
        <f>IF(J42=1,IF(L42&gt;0,J42*L42,100),IF(J42=2,0,""))</f>
        <v>80</v>
      </c>
      <c r="U42" s="464">
        <f>IF(J42="","",1)</f>
        <v>1</v>
      </c>
      <c r="V42" s="464">
        <f>IF(J43=1,100,T42)</f>
        <v>80</v>
      </c>
      <c r="W42" s="464">
        <f>IF(J42="","",IF(L42&lt;&gt;100,1,""))</f>
        <v>1</v>
      </c>
      <c r="X42" s="465">
        <f>IF(J42=1,100,"")</f>
        <v>100</v>
      </c>
      <c r="Y42" s="406">
        <f>IF(AND(P42="",U42=""),"",(IF(P42="",0,O42*Y$17)+IF(U42="",0,T42*Z$17))/(IF(P42=22,0,Y$17)+IF(U42="",0,Z$17)))</f>
        <v>80</v>
      </c>
      <c r="Z42" s="464">
        <f>IF(AND(P42="",U42=""),"",(IF(P42="",0,Q42*Y$17)+IF(U42="",0,V42*Z$17))/(IF(P42=22,0,Y$17)+IF(U42="",0,Z$17)))</f>
        <v>95</v>
      </c>
      <c r="AA42" s="465">
        <f>IF(AND(P42="",U42=""),"",1)</f>
        <v>1</v>
      </c>
    </row>
    <row r="43" spans="1:27" s="13" customFormat="1" ht="30" customHeight="1">
      <c r="A43" s="455"/>
      <c r="B43" s="549" t="s">
        <v>547</v>
      </c>
      <c r="C43" s="550"/>
      <c r="D43" s="550"/>
      <c r="E43" s="550"/>
      <c r="F43" s="524">
        <v>1</v>
      </c>
      <c r="G43" s="405"/>
      <c r="H43" s="29"/>
      <c r="I43" s="406"/>
      <c r="J43" s="524">
        <v>2</v>
      </c>
      <c r="K43" s="405"/>
      <c r="L43" s="29"/>
      <c r="M43" s="406"/>
      <c r="O43" s="72"/>
      <c r="P43" s="455"/>
      <c r="Q43" s="455"/>
      <c r="R43" s="455">
        <f>IF(F42="","",IF(H42&lt;&gt;100,2,""))</f>
        <v>2</v>
      </c>
      <c r="S43" s="73">
        <f>IF(F42=1,80,"")</f>
        <v>80</v>
      </c>
      <c r="T43" s="72"/>
      <c r="U43" s="455"/>
      <c r="V43" s="455"/>
      <c r="W43" s="455">
        <f>IF(J42="","",IF(L42&lt;&gt;100,2,""))</f>
        <v>2</v>
      </c>
      <c r="X43" s="73">
        <f>IF(J42=1,80,"")</f>
        <v>80</v>
      </c>
      <c r="Y43" s="57"/>
      <c r="Z43" s="455"/>
      <c r="AA43" s="73"/>
    </row>
    <row r="44" spans="1:27" s="13" customFormat="1" ht="13.5">
      <c r="A44" s="455"/>
      <c r="B44" s="456"/>
      <c r="C44" s="457" t="s">
        <v>180</v>
      </c>
      <c r="D44" s="370" t="s">
        <v>24</v>
      </c>
      <c r="E44" s="458"/>
      <c r="F44" s="535"/>
      <c r="G44" s="56"/>
      <c r="H44" s="29"/>
      <c r="I44" s="57"/>
      <c r="J44" s="535"/>
      <c r="K44" s="56"/>
      <c r="L44" s="29"/>
      <c r="M44" s="57"/>
      <c r="O44" s="72"/>
      <c r="P44" s="455"/>
      <c r="Q44" s="455"/>
      <c r="R44" s="455">
        <f>IF(F42="","",IF(H42&lt;&gt;100,3,""))</f>
        <v>3</v>
      </c>
      <c r="S44" s="73">
        <f>IF(F42=1,60,"")</f>
        <v>60</v>
      </c>
      <c r="T44" s="72"/>
      <c r="U44" s="455"/>
      <c r="V44" s="455"/>
      <c r="W44" s="455">
        <f>IF(J42="","",IF(L42&lt;&gt;100,3,""))</f>
        <v>3</v>
      </c>
      <c r="X44" s="73">
        <f>IF(J42=1,60,"")</f>
        <v>60</v>
      </c>
      <c r="Y44" s="57"/>
      <c r="Z44" s="455"/>
      <c r="AA44" s="73"/>
    </row>
    <row r="45" spans="1:27" s="13" customFormat="1" ht="27" customHeight="1">
      <c r="A45" s="455"/>
      <c r="B45" s="456"/>
      <c r="C45" s="457" t="s">
        <v>661</v>
      </c>
      <c r="D45" s="576" t="s">
        <v>666</v>
      </c>
      <c r="E45" s="577"/>
      <c r="F45" s="525"/>
      <c r="G45" s="408"/>
      <c r="H45" s="29"/>
      <c r="I45" s="57"/>
      <c r="J45" s="525"/>
      <c r="K45" s="408"/>
      <c r="L45" s="29"/>
      <c r="M45" s="57"/>
      <c r="O45" s="72"/>
      <c r="P45" s="455"/>
      <c r="Q45" s="455"/>
      <c r="R45" s="455"/>
      <c r="S45" s="73">
        <f>IF(F42=1,40,"")</f>
        <v>40</v>
      </c>
      <c r="T45" s="72"/>
      <c r="U45" s="455"/>
      <c r="V45" s="455"/>
      <c r="W45" s="455"/>
      <c r="X45" s="73">
        <f>IF(J42=1,40,"")</f>
        <v>40</v>
      </c>
      <c r="Y45" s="57"/>
      <c r="Z45" s="455"/>
      <c r="AA45" s="73"/>
    </row>
    <row r="46" spans="1:27" s="13" customFormat="1" ht="14.25" thickBot="1">
      <c r="A46" s="461"/>
      <c r="B46" s="408"/>
      <c r="C46" s="468" t="s">
        <v>662</v>
      </c>
      <c r="D46" s="469" t="s">
        <v>361</v>
      </c>
      <c r="E46" s="459"/>
      <c r="F46" s="532"/>
      <c r="G46" s="533"/>
      <c r="H46" s="533"/>
      <c r="I46" s="534"/>
      <c r="J46" s="532"/>
      <c r="K46" s="533"/>
      <c r="L46" s="533"/>
      <c r="M46" s="534"/>
      <c r="O46" s="74"/>
      <c r="P46" s="453"/>
      <c r="Q46" s="453"/>
      <c r="R46" s="453"/>
      <c r="S46" s="75">
        <f>IF(F42=1,20,"")</f>
        <v>20</v>
      </c>
      <c r="T46" s="74"/>
      <c r="U46" s="453"/>
      <c r="V46" s="453"/>
      <c r="W46" s="453"/>
      <c r="X46" s="75">
        <f>IF(J42=1,20,"")</f>
        <v>20</v>
      </c>
      <c r="Y46" s="452"/>
      <c r="Z46" s="453"/>
      <c r="AA46" s="75"/>
    </row>
    <row r="47" spans="2:24" s="13" customFormat="1" ht="7.5" customHeight="1" thickBot="1">
      <c r="B47" s="470"/>
      <c r="C47" s="470"/>
      <c r="D47" s="470"/>
      <c r="F47" s="28"/>
      <c r="G47" s="28"/>
      <c r="H47" s="28"/>
      <c r="I47" s="28"/>
      <c r="J47" s="28"/>
      <c r="K47" s="29"/>
      <c r="L47" s="29"/>
      <c r="M47" s="29"/>
      <c r="O47" s="30"/>
      <c r="P47" s="29"/>
      <c r="Q47" s="29"/>
      <c r="R47" s="29"/>
      <c r="S47" s="31"/>
      <c r="T47" s="417"/>
      <c r="U47" s="29"/>
      <c r="V47" s="29"/>
      <c r="W47" s="29"/>
      <c r="X47" s="31"/>
    </row>
    <row r="48" spans="1:27" s="13" customFormat="1" ht="18.75" customHeight="1">
      <c r="A48" s="17" t="s">
        <v>447</v>
      </c>
      <c r="B48" s="540" t="s">
        <v>726</v>
      </c>
      <c r="C48" s="541"/>
      <c r="D48" s="542"/>
      <c r="E48" s="27" t="s">
        <v>714</v>
      </c>
      <c r="F48" s="335">
        <v>1</v>
      </c>
      <c r="G48" s="27" t="str">
        <f>IF(F48=1,"実施率","")</f>
        <v>実施率</v>
      </c>
      <c r="H48" s="341">
        <v>80</v>
      </c>
      <c r="I48" s="260" t="str">
        <f>IF(F48=1,"%程度","")</f>
        <v>%程度</v>
      </c>
      <c r="J48" s="335">
        <v>1</v>
      </c>
      <c r="K48" s="27" t="str">
        <f>IF(J48=1,"実施率","")</f>
        <v>実施率</v>
      </c>
      <c r="L48" s="341">
        <v>80</v>
      </c>
      <c r="M48" s="260" t="str">
        <f>IF(J48=1,"%程度","")</f>
        <v>%程度</v>
      </c>
      <c r="O48" s="70">
        <f>IF(F48=1,IF(H48&gt;0,F48*H48,100),IF(F48=2,0,""))</f>
        <v>80</v>
      </c>
      <c r="P48" s="454">
        <f>IF(F48="","",1)</f>
        <v>1</v>
      </c>
      <c r="Q48" s="454">
        <f>IF(F49=1,100,O48)</f>
        <v>100</v>
      </c>
      <c r="R48" s="454">
        <f>IF(F48="","",IF(H48&lt;&gt;100,1,""))</f>
        <v>1</v>
      </c>
      <c r="S48" s="71">
        <f>IF(F48=1,100,"")</f>
        <v>100</v>
      </c>
      <c r="T48" s="70">
        <f>IF(J48=1,IF(L48&gt;0,J48*L48,100),IF(J48=2,0,""))</f>
        <v>80</v>
      </c>
      <c r="U48" s="454">
        <f>IF(J48="","",1)</f>
        <v>1</v>
      </c>
      <c r="V48" s="454">
        <f>IF(J49=1,100,T48)</f>
        <v>100</v>
      </c>
      <c r="W48" s="454">
        <f>IF(J48="","",IF(L48&lt;&gt;100,1,""))</f>
        <v>1</v>
      </c>
      <c r="X48" s="71">
        <f>IF(J48=1,100,"")</f>
        <v>100</v>
      </c>
      <c r="Y48" s="67">
        <f>IF(AND(P48="",U48=""),"",(IF(P48="",0,O48*Y$17)+IF(U48="",0,T48*Z$17))/(IF(P48=22,0,Y$17)+IF(U48="",0,Z$17)))</f>
        <v>80</v>
      </c>
      <c r="Z48" s="454">
        <f>IF(AND(P48="",U48=""),"",(IF(P48="",0,Q48*Y$17)+IF(U48="",0,V48*Z$17))/(IF(P48=22,0,Y$17)+IF(U48="",0,Z$17)))</f>
        <v>100</v>
      </c>
      <c r="AA48" s="71">
        <f>IF(AND(P48="",U48=""),"",1)</f>
        <v>1</v>
      </c>
    </row>
    <row r="49" spans="1:27" s="13" customFormat="1" ht="30" customHeight="1">
      <c r="A49" s="455"/>
      <c r="B49" s="549" t="s">
        <v>548</v>
      </c>
      <c r="C49" s="550"/>
      <c r="D49" s="550"/>
      <c r="E49" s="550"/>
      <c r="F49" s="524">
        <v>1</v>
      </c>
      <c r="G49" s="405"/>
      <c r="H49" s="29"/>
      <c r="I49" s="406"/>
      <c r="J49" s="524">
        <v>1</v>
      </c>
      <c r="K49" s="405"/>
      <c r="L49" s="29"/>
      <c r="M49" s="406"/>
      <c r="O49" s="72"/>
      <c r="P49" s="455"/>
      <c r="Q49" s="455"/>
      <c r="R49" s="455">
        <f>IF(F48="","",IF(H48&lt;&gt;100,2,""))</f>
        <v>2</v>
      </c>
      <c r="S49" s="73">
        <f>IF(F48=1,80,"")</f>
        <v>80</v>
      </c>
      <c r="T49" s="72"/>
      <c r="U49" s="455"/>
      <c r="V49" s="455"/>
      <c r="W49" s="455">
        <f>IF(J48="","",IF(L48&lt;&gt;100,2,""))</f>
        <v>2</v>
      </c>
      <c r="X49" s="73">
        <f>IF(J48=1,80,"")</f>
        <v>80</v>
      </c>
      <c r="Y49" s="57"/>
      <c r="Z49" s="455"/>
      <c r="AA49" s="73"/>
    </row>
    <row r="50" spans="1:27" s="13" customFormat="1" ht="13.5">
      <c r="A50" s="455"/>
      <c r="B50" s="456"/>
      <c r="C50" s="457" t="s">
        <v>180</v>
      </c>
      <c r="D50" s="370" t="s">
        <v>25</v>
      </c>
      <c r="E50" s="458"/>
      <c r="F50" s="535"/>
      <c r="G50" s="56"/>
      <c r="H50" s="29"/>
      <c r="I50" s="57"/>
      <c r="J50" s="535"/>
      <c r="K50" s="56"/>
      <c r="L50" s="29"/>
      <c r="M50" s="57"/>
      <c r="O50" s="72"/>
      <c r="P50" s="455"/>
      <c r="Q50" s="455"/>
      <c r="R50" s="455">
        <f>IF(F48="","",IF(H48&lt;&gt;100,3,""))</f>
        <v>3</v>
      </c>
      <c r="S50" s="73">
        <f>IF(F48=1,60,"")</f>
        <v>60</v>
      </c>
      <c r="T50" s="72"/>
      <c r="U50" s="455"/>
      <c r="V50" s="455"/>
      <c r="W50" s="455">
        <f>IF(J48="","",IF(L48&lt;&gt;100,3,""))</f>
        <v>3</v>
      </c>
      <c r="X50" s="73">
        <f>IF(J48=1,60,"")</f>
        <v>60</v>
      </c>
      <c r="Y50" s="57"/>
      <c r="Z50" s="455"/>
      <c r="AA50" s="73"/>
    </row>
    <row r="51" spans="1:27" s="13" customFormat="1" ht="13.5">
      <c r="A51" s="455"/>
      <c r="B51" s="456"/>
      <c r="C51" s="457" t="s">
        <v>661</v>
      </c>
      <c r="D51" s="370" t="s">
        <v>668</v>
      </c>
      <c r="E51" s="458"/>
      <c r="F51" s="525"/>
      <c r="G51" s="408"/>
      <c r="H51" s="29"/>
      <c r="I51" s="57"/>
      <c r="J51" s="525"/>
      <c r="K51" s="408"/>
      <c r="L51" s="29"/>
      <c r="M51" s="57"/>
      <c r="O51" s="72"/>
      <c r="P51" s="455"/>
      <c r="Q51" s="455"/>
      <c r="R51" s="455"/>
      <c r="S51" s="73">
        <f>IF(F48=1,40,"")</f>
        <v>40</v>
      </c>
      <c r="T51" s="72"/>
      <c r="U51" s="455"/>
      <c r="V51" s="455"/>
      <c r="W51" s="455"/>
      <c r="X51" s="73">
        <f>IF(J48=1,40,"")</f>
        <v>40</v>
      </c>
      <c r="Y51" s="57"/>
      <c r="Z51" s="455"/>
      <c r="AA51" s="73"/>
    </row>
    <row r="52" spans="1:27" s="13" customFormat="1" ht="13.5">
      <c r="A52" s="455"/>
      <c r="B52" s="408"/>
      <c r="C52" s="457" t="s">
        <v>662</v>
      </c>
      <c r="D52" s="370" t="s">
        <v>361</v>
      </c>
      <c r="E52" s="459"/>
      <c r="F52" s="532"/>
      <c r="G52" s="533"/>
      <c r="H52" s="533"/>
      <c r="I52" s="534"/>
      <c r="J52" s="532"/>
      <c r="K52" s="533"/>
      <c r="L52" s="533"/>
      <c r="M52" s="534"/>
      <c r="O52" s="460"/>
      <c r="P52" s="461"/>
      <c r="Q52" s="461"/>
      <c r="R52" s="461"/>
      <c r="S52" s="462">
        <f>IF(F48=1,20,"")</f>
        <v>20</v>
      </c>
      <c r="T52" s="460"/>
      <c r="U52" s="461"/>
      <c r="V52" s="461"/>
      <c r="W52" s="461"/>
      <c r="X52" s="462">
        <f>IF(J48=1,20,"")</f>
        <v>20</v>
      </c>
      <c r="Y52" s="409"/>
      <c r="Z52" s="461"/>
      <c r="AA52" s="462"/>
    </row>
    <row r="53" spans="1:27" s="13" customFormat="1" ht="17.25" customHeight="1">
      <c r="A53" s="455"/>
      <c r="B53" s="540" t="s">
        <v>727</v>
      </c>
      <c r="C53" s="541"/>
      <c r="D53" s="542"/>
      <c r="E53" s="27" t="s">
        <v>715</v>
      </c>
      <c r="F53" s="335">
        <v>1</v>
      </c>
      <c r="G53" s="27" t="str">
        <f>IF(F53=1,"実施率","")</f>
        <v>実施率</v>
      </c>
      <c r="H53" s="341">
        <v>80</v>
      </c>
      <c r="I53" s="260" t="str">
        <f>IF(F53=1,"%程度","")</f>
        <v>%程度</v>
      </c>
      <c r="J53" s="335">
        <v>1</v>
      </c>
      <c r="K53" s="27" t="str">
        <f>IF(J53=1,"実施率","")</f>
        <v>実施率</v>
      </c>
      <c r="L53" s="341">
        <v>80</v>
      </c>
      <c r="M53" s="260" t="str">
        <f>IF(J53=1,"%程度","")</f>
        <v>%程度</v>
      </c>
      <c r="O53" s="463">
        <f>IF(F53=1,IF(H53&gt;0,F53*H53,100),IF(F53=2,0,""))</f>
        <v>80</v>
      </c>
      <c r="P53" s="464">
        <f>IF(F53="","",1)</f>
        <v>1</v>
      </c>
      <c r="Q53" s="464">
        <f>IF(F54=1,100,O53)</f>
        <v>100</v>
      </c>
      <c r="R53" s="464">
        <f>IF(F53="","",IF(H53&lt;&gt;100,1,""))</f>
        <v>1</v>
      </c>
      <c r="S53" s="465">
        <f>IF(F53=1,100,"")</f>
        <v>100</v>
      </c>
      <c r="T53" s="463">
        <f>IF(J53=1,IF(L53&gt;0,J53*L53,100),IF(J53=2,0,""))</f>
        <v>80</v>
      </c>
      <c r="U53" s="464">
        <f>IF(J53="","",1)</f>
        <v>1</v>
      </c>
      <c r="V53" s="464">
        <f>IF(J54=1,100,T53)</f>
        <v>100</v>
      </c>
      <c r="W53" s="464">
        <f>IF(J53="","",IF(L53&lt;&gt;100,1,""))</f>
        <v>1</v>
      </c>
      <c r="X53" s="465">
        <f>IF(J53=1,100,"")</f>
        <v>100</v>
      </c>
      <c r="Y53" s="406">
        <f>IF(AND(P53="",U53=""),"",(IF(P53="",0,O53*Y$17)+IF(U53="",0,T53*Z$17))/(IF(P53=22,0,Y$17)+IF(U53="",0,Z$17)))</f>
        <v>80</v>
      </c>
      <c r="Z53" s="464">
        <f>IF(AND(P53="",U53=""),"",(IF(P53="",0,Q53*Y$17)+IF(U53="",0,V53*Z$17))/(IF(P53=22,0,Y$17)+IF(U53="",0,Z$17)))</f>
        <v>100</v>
      </c>
      <c r="AA53" s="465">
        <f>IF(AND(P53="",U53=""),"",1)</f>
        <v>1</v>
      </c>
    </row>
    <row r="54" spans="1:27" s="13" customFormat="1" ht="30" customHeight="1">
      <c r="A54" s="455"/>
      <c r="B54" s="549" t="s">
        <v>549</v>
      </c>
      <c r="C54" s="550"/>
      <c r="D54" s="550"/>
      <c r="E54" s="550"/>
      <c r="F54" s="524">
        <v>1</v>
      </c>
      <c r="G54" s="405"/>
      <c r="H54" s="29"/>
      <c r="I54" s="406"/>
      <c r="J54" s="524">
        <v>1</v>
      </c>
      <c r="K54" s="405"/>
      <c r="L54" s="29"/>
      <c r="M54" s="406"/>
      <c r="O54" s="72"/>
      <c r="P54" s="455"/>
      <c r="Q54" s="455"/>
      <c r="R54" s="455">
        <f>IF(F53="","",IF(H53&lt;&gt;100,2,""))</f>
        <v>2</v>
      </c>
      <c r="S54" s="73">
        <f>IF(F53=1,80,"")</f>
        <v>80</v>
      </c>
      <c r="T54" s="72"/>
      <c r="U54" s="455"/>
      <c r="V54" s="455"/>
      <c r="W54" s="455">
        <f>IF(J53="","",IF(L53&lt;&gt;100,2,""))</f>
        <v>2</v>
      </c>
      <c r="X54" s="73">
        <f>IF(J53=1,80,"")</f>
        <v>80</v>
      </c>
      <c r="Y54" s="57"/>
      <c r="Z54" s="455"/>
      <c r="AA54" s="73"/>
    </row>
    <row r="55" spans="1:27" s="13" customFormat="1" ht="15.75" customHeight="1">
      <c r="A55" s="455"/>
      <c r="B55" s="456"/>
      <c r="C55" s="457" t="s">
        <v>180</v>
      </c>
      <c r="D55" s="370" t="s">
        <v>53</v>
      </c>
      <c r="E55" s="458"/>
      <c r="F55" s="535"/>
      <c r="G55" s="56"/>
      <c r="H55" s="29"/>
      <c r="I55" s="57"/>
      <c r="J55" s="535"/>
      <c r="K55" s="56"/>
      <c r="L55" s="29"/>
      <c r="M55" s="57"/>
      <c r="O55" s="72"/>
      <c r="P55" s="455"/>
      <c r="Q55" s="455"/>
      <c r="R55" s="455">
        <f>IF(F53="","",IF(H53&lt;&gt;100,3,""))</f>
        <v>3</v>
      </c>
      <c r="S55" s="73">
        <f>IF(F53=1,60,"")</f>
        <v>60</v>
      </c>
      <c r="T55" s="72"/>
      <c r="U55" s="455"/>
      <c r="V55" s="455"/>
      <c r="W55" s="455">
        <f>IF(J53="","",IF(L53&lt;&gt;100,3,""))</f>
        <v>3</v>
      </c>
      <c r="X55" s="73">
        <f>IF(J53=1,60,"")</f>
        <v>60</v>
      </c>
      <c r="Y55" s="57"/>
      <c r="Z55" s="455"/>
      <c r="AA55" s="73"/>
    </row>
    <row r="56" spans="1:27" s="13" customFormat="1" ht="13.5">
      <c r="A56" s="455"/>
      <c r="B56" s="456"/>
      <c r="C56" s="457" t="s">
        <v>661</v>
      </c>
      <c r="D56" s="370" t="s">
        <v>669</v>
      </c>
      <c r="E56" s="458"/>
      <c r="F56" s="525"/>
      <c r="G56" s="408"/>
      <c r="H56" s="29"/>
      <c r="I56" s="57"/>
      <c r="J56" s="525"/>
      <c r="K56" s="408"/>
      <c r="L56" s="29"/>
      <c r="M56" s="57"/>
      <c r="O56" s="72"/>
      <c r="P56" s="455"/>
      <c r="Q56" s="455"/>
      <c r="R56" s="455"/>
      <c r="S56" s="73">
        <f>IF(F53=1,40,"")</f>
        <v>40</v>
      </c>
      <c r="T56" s="72"/>
      <c r="U56" s="455"/>
      <c r="V56" s="455"/>
      <c r="W56" s="455"/>
      <c r="X56" s="73">
        <f>IF(J53=1,40,"")</f>
        <v>40</v>
      </c>
      <c r="Y56" s="57"/>
      <c r="Z56" s="455"/>
      <c r="AA56" s="73"/>
    </row>
    <row r="57" spans="1:27" s="13" customFormat="1" ht="13.5">
      <c r="A57" s="455"/>
      <c r="B57" s="408"/>
      <c r="C57" s="457" t="s">
        <v>662</v>
      </c>
      <c r="D57" s="370" t="s">
        <v>361</v>
      </c>
      <c r="E57" s="459"/>
      <c r="F57" s="532"/>
      <c r="G57" s="533"/>
      <c r="H57" s="533"/>
      <c r="I57" s="534"/>
      <c r="J57" s="532"/>
      <c r="K57" s="533"/>
      <c r="L57" s="533"/>
      <c r="M57" s="534"/>
      <c r="O57" s="460"/>
      <c r="P57" s="461"/>
      <c r="Q57" s="461"/>
      <c r="R57" s="461"/>
      <c r="S57" s="462">
        <f>IF(F53=1,20,"")</f>
        <v>20</v>
      </c>
      <c r="T57" s="460"/>
      <c r="U57" s="461"/>
      <c r="V57" s="461"/>
      <c r="W57" s="461"/>
      <c r="X57" s="462">
        <f>IF(J53=1,20,"")</f>
        <v>20</v>
      </c>
      <c r="Y57" s="409"/>
      <c r="Z57" s="461"/>
      <c r="AA57" s="462"/>
    </row>
    <row r="58" spans="1:27" s="13" customFormat="1" ht="20.25" customHeight="1">
      <c r="A58" s="455"/>
      <c r="B58" s="540" t="s">
        <v>728</v>
      </c>
      <c r="C58" s="541"/>
      <c r="D58" s="542"/>
      <c r="E58" s="27" t="s">
        <v>665</v>
      </c>
      <c r="F58" s="335">
        <v>1</v>
      </c>
      <c r="G58" s="27" t="str">
        <f>IF(F58=1,"実施率","")</f>
        <v>実施率</v>
      </c>
      <c r="H58" s="341">
        <v>20</v>
      </c>
      <c r="I58" s="260" t="str">
        <f>IF(F58=1,"%程度","")</f>
        <v>%程度</v>
      </c>
      <c r="J58" s="335">
        <v>1</v>
      </c>
      <c r="K58" s="27" t="str">
        <f>IF(J58=1,"実施率","")</f>
        <v>実施率</v>
      </c>
      <c r="L58" s="341">
        <v>100</v>
      </c>
      <c r="M58" s="260" t="str">
        <f>IF(J58=1,"%程度","")</f>
        <v>%程度</v>
      </c>
      <c r="O58" s="463">
        <f>IF(F58=1,IF(H58&gt;0,F58*H58,100),IF(F58=2,0,""))</f>
        <v>20</v>
      </c>
      <c r="P58" s="464">
        <f>IF(F58="","",1)</f>
        <v>1</v>
      </c>
      <c r="Q58" s="464">
        <f>IF(F59=1,100,O58)</f>
        <v>100</v>
      </c>
      <c r="R58" s="464">
        <f>IF(F58="","",IF(H58&lt;&gt;100,1,""))</f>
        <v>1</v>
      </c>
      <c r="S58" s="465">
        <f>IF(F58=1,100,"")</f>
        <v>100</v>
      </c>
      <c r="T58" s="463">
        <f>IF(J58=1,IF(L58&gt;0,J58*L58,100),IF(J58=2,0,""))</f>
        <v>100</v>
      </c>
      <c r="U58" s="464">
        <f>IF(J58="","",1)</f>
        <v>1</v>
      </c>
      <c r="V58" s="464">
        <f>IF(J59=1,100,T58)</f>
        <v>100</v>
      </c>
      <c r="W58" s="464">
        <f>IF(J58="","",IF(L58&lt;&gt;100,1,""))</f>
      </c>
      <c r="X58" s="465">
        <f>IF(J58=1,100,"")</f>
        <v>100</v>
      </c>
      <c r="Y58" s="406">
        <f>IF(AND(P58="",U58=""),"",(IF(P58="",0,O58*Y$17)+IF(U58="",0,T58*Z$17))/(IF(P58=22,0,Y$17)+IF(U58="",0,Z$17)))</f>
        <v>40</v>
      </c>
      <c r="Z58" s="464">
        <f>IF(AND(P58="",U58=""),"",(IF(P58="",0,Q58*Y$17)+IF(U58="",0,V58*Z$17))/(IF(P58=22,0,Y$17)+IF(U58="",0,Z$17)))</f>
        <v>100</v>
      </c>
      <c r="AA58" s="465">
        <f>IF(AND(P58="",U58=""),"",1)</f>
        <v>1</v>
      </c>
    </row>
    <row r="59" spans="1:27" s="13" customFormat="1" ht="32.25" customHeight="1">
      <c r="A59" s="455"/>
      <c r="B59" s="549" t="s">
        <v>184</v>
      </c>
      <c r="C59" s="550"/>
      <c r="D59" s="550"/>
      <c r="E59" s="550"/>
      <c r="F59" s="524">
        <v>1</v>
      </c>
      <c r="G59" s="405"/>
      <c r="H59" s="29"/>
      <c r="I59" s="406"/>
      <c r="J59" s="524"/>
      <c r="K59" s="405"/>
      <c r="L59" s="29"/>
      <c r="M59" s="406"/>
      <c r="O59" s="72"/>
      <c r="P59" s="455"/>
      <c r="Q59" s="455"/>
      <c r="R59" s="455">
        <f>IF(F58="","",IF(H58&lt;&gt;100,2,""))</f>
        <v>2</v>
      </c>
      <c r="S59" s="73">
        <f>IF(F58=1,80,"")</f>
        <v>80</v>
      </c>
      <c r="T59" s="72"/>
      <c r="U59" s="455"/>
      <c r="V59" s="455"/>
      <c r="W59" s="455">
        <f>IF(J58="","",IF(L58&lt;&gt;100,2,""))</f>
      </c>
      <c r="X59" s="73">
        <f>IF(J58=1,80,"")</f>
        <v>80</v>
      </c>
      <c r="Y59" s="57"/>
      <c r="Z59" s="455"/>
      <c r="AA59" s="73"/>
    </row>
    <row r="60" spans="1:27" s="13" customFormat="1" ht="30" customHeight="1">
      <c r="A60" s="455"/>
      <c r="B60" s="456"/>
      <c r="C60" s="457" t="s">
        <v>180</v>
      </c>
      <c r="D60" s="551" t="s">
        <v>54</v>
      </c>
      <c r="E60" s="552"/>
      <c r="F60" s="535"/>
      <c r="G60" s="56"/>
      <c r="H60" s="29"/>
      <c r="I60" s="57"/>
      <c r="J60" s="535"/>
      <c r="K60" s="56"/>
      <c r="L60" s="29"/>
      <c r="M60" s="57"/>
      <c r="O60" s="72"/>
      <c r="P60" s="455"/>
      <c r="Q60" s="455"/>
      <c r="R60" s="455">
        <f>IF(F58="","",IF(H58&lt;&gt;100,3,""))</f>
        <v>3</v>
      </c>
      <c r="S60" s="73">
        <f>IF(F58=1,60,"")</f>
        <v>60</v>
      </c>
      <c r="T60" s="72"/>
      <c r="U60" s="455"/>
      <c r="V60" s="455"/>
      <c r="W60" s="455">
        <f>IF(J58="","",IF(L58&lt;&gt;100,3,""))</f>
      </c>
      <c r="X60" s="73">
        <f>IF(J58=1,60,"")</f>
        <v>60</v>
      </c>
      <c r="Y60" s="57"/>
      <c r="Z60" s="455"/>
      <c r="AA60" s="73"/>
    </row>
    <row r="61" spans="1:27" s="13" customFormat="1" ht="15" customHeight="1">
      <c r="A61" s="455"/>
      <c r="B61" s="456"/>
      <c r="C61" s="457" t="s">
        <v>661</v>
      </c>
      <c r="D61" s="370" t="s">
        <v>670</v>
      </c>
      <c r="E61" s="458"/>
      <c r="F61" s="525"/>
      <c r="G61" s="408"/>
      <c r="H61" s="29"/>
      <c r="I61" s="57"/>
      <c r="J61" s="525"/>
      <c r="K61" s="408"/>
      <c r="L61" s="29"/>
      <c r="M61" s="57"/>
      <c r="O61" s="72"/>
      <c r="P61" s="455"/>
      <c r="Q61" s="455"/>
      <c r="R61" s="455"/>
      <c r="S61" s="73">
        <f>IF(F58=1,40,"")</f>
        <v>40</v>
      </c>
      <c r="T61" s="72"/>
      <c r="U61" s="455"/>
      <c r="V61" s="455"/>
      <c r="W61" s="455"/>
      <c r="X61" s="73">
        <f>IF(J58=1,40,"")</f>
        <v>40</v>
      </c>
      <c r="Y61" s="57"/>
      <c r="Z61" s="455"/>
      <c r="AA61" s="73"/>
    </row>
    <row r="62" spans="1:27" s="13" customFormat="1" ht="15" customHeight="1">
      <c r="A62" s="455"/>
      <c r="B62" s="408"/>
      <c r="C62" s="457" t="s">
        <v>662</v>
      </c>
      <c r="D62" s="370" t="s">
        <v>361</v>
      </c>
      <c r="E62" s="459"/>
      <c r="F62" s="532"/>
      <c r="G62" s="533"/>
      <c r="H62" s="533"/>
      <c r="I62" s="534"/>
      <c r="J62" s="532"/>
      <c r="K62" s="533"/>
      <c r="L62" s="533"/>
      <c r="M62" s="534"/>
      <c r="O62" s="460"/>
      <c r="P62" s="461"/>
      <c r="Q62" s="461"/>
      <c r="R62" s="461"/>
      <c r="S62" s="462">
        <f>IF(F58=1,20,"")</f>
        <v>20</v>
      </c>
      <c r="T62" s="460"/>
      <c r="U62" s="461"/>
      <c r="V62" s="461"/>
      <c r="W62" s="461"/>
      <c r="X62" s="462">
        <f>IF(J58=1,20,"")</f>
        <v>20</v>
      </c>
      <c r="Y62" s="409"/>
      <c r="Z62" s="461"/>
      <c r="AA62" s="462"/>
    </row>
    <row r="63" spans="1:27" s="13" customFormat="1" ht="22.5" customHeight="1">
      <c r="A63" s="455"/>
      <c r="B63" s="540" t="s">
        <v>41</v>
      </c>
      <c r="C63" s="541"/>
      <c r="D63" s="542"/>
      <c r="E63" s="27" t="s">
        <v>714</v>
      </c>
      <c r="F63" s="335">
        <v>1</v>
      </c>
      <c r="G63" s="27" t="str">
        <f>IF(F63=1,"実施率","")</f>
        <v>実施率</v>
      </c>
      <c r="H63" s="341">
        <v>80</v>
      </c>
      <c r="I63" s="260" t="str">
        <f>IF(F63=1,"%程度","")</f>
        <v>%程度</v>
      </c>
      <c r="J63" s="335">
        <v>1</v>
      </c>
      <c r="K63" s="27" t="str">
        <f>IF(J63=1,"実施率","")</f>
        <v>実施率</v>
      </c>
      <c r="L63" s="341">
        <v>80</v>
      </c>
      <c r="M63" s="260" t="str">
        <f>IF(J63=1,"%程度","")</f>
        <v>%程度</v>
      </c>
      <c r="O63" s="463">
        <f>IF(F63=1,IF(H63&gt;0,F63*H63,100),IF(F63=2,0,""))</f>
        <v>80</v>
      </c>
      <c r="P63" s="464">
        <f>IF(F63="","",1)</f>
        <v>1</v>
      </c>
      <c r="Q63" s="464">
        <f>IF(F64=1,100,O63)</f>
        <v>100</v>
      </c>
      <c r="R63" s="464">
        <f>IF(F63="","",IF(H63&lt;&gt;100,1,""))</f>
        <v>1</v>
      </c>
      <c r="S63" s="465">
        <f>IF(F63=1,100,"")</f>
        <v>100</v>
      </c>
      <c r="T63" s="463">
        <f>IF(J63=1,IF(L63&gt;0,J63*L63,100),IF(J63=2,0,""))</f>
        <v>80</v>
      </c>
      <c r="U63" s="464">
        <f>IF(J63="","",1)</f>
        <v>1</v>
      </c>
      <c r="V63" s="464">
        <f>IF(J64=1,100,T63)</f>
        <v>100</v>
      </c>
      <c r="W63" s="464">
        <f>IF(J63="","",IF(L63&lt;&gt;100,1,""))</f>
        <v>1</v>
      </c>
      <c r="X63" s="465">
        <f>IF(J63=1,100,"")</f>
        <v>100</v>
      </c>
      <c r="Y63" s="406">
        <f>IF(AND(P63="",U63=""),"",(IF(P63="",0,O63*Y$17)+IF(U63="",0,T63*Z$17))/(IF(P63=22,0,Y$17)+IF(U63="",0,Z$17)))</f>
        <v>80</v>
      </c>
      <c r="Z63" s="464">
        <f>IF(AND(P63="",U63=""),"",(IF(P63="",0,Q63*Y$17)+IF(U63="",0,V63*Z$17))/(IF(P63=22,0,Y$17)+IF(U63="",0,Z$17)))</f>
        <v>100</v>
      </c>
      <c r="AA63" s="465">
        <f>IF(AND(P63="",U63=""),"",1)</f>
        <v>1</v>
      </c>
    </row>
    <row r="64" spans="1:27" s="13" customFormat="1" ht="34.5" customHeight="1">
      <c r="A64" s="455"/>
      <c r="B64" s="549" t="s">
        <v>550</v>
      </c>
      <c r="C64" s="550"/>
      <c r="D64" s="550"/>
      <c r="E64" s="550"/>
      <c r="F64" s="524">
        <v>1</v>
      </c>
      <c r="G64" s="405"/>
      <c r="H64" s="29"/>
      <c r="I64" s="406"/>
      <c r="J64" s="524">
        <v>1</v>
      </c>
      <c r="K64" s="405"/>
      <c r="L64" s="29"/>
      <c r="M64" s="406"/>
      <c r="O64" s="72"/>
      <c r="P64" s="455"/>
      <c r="Q64" s="455"/>
      <c r="R64" s="455">
        <f>IF(F63="","",IF(H63&lt;&gt;100,2,""))</f>
        <v>2</v>
      </c>
      <c r="S64" s="73">
        <f>IF(F63=1,80,"")</f>
        <v>80</v>
      </c>
      <c r="T64" s="72"/>
      <c r="U64" s="455"/>
      <c r="V64" s="455"/>
      <c r="W64" s="455">
        <f>IF(J63="","",IF(L63&lt;&gt;100,2,""))</f>
        <v>2</v>
      </c>
      <c r="X64" s="73">
        <f>IF(J63=1,80,"")</f>
        <v>80</v>
      </c>
      <c r="Y64" s="57"/>
      <c r="Z64" s="455"/>
      <c r="AA64" s="73"/>
    </row>
    <row r="65" spans="1:27" s="13" customFormat="1" ht="13.5">
      <c r="A65" s="455"/>
      <c r="B65" s="456"/>
      <c r="C65" s="457" t="s">
        <v>180</v>
      </c>
      <c r="D65" s="370" t="s">
        <v>55</v>
      </c>
      <c r="E65" s="370"/>
      <c r="F65" s="535"/>
      <c r="G65" s="56"/>
      <c r="H65" s="29"/>
      <c r="I65" s="57"/>
      <c r="J65" s="535"/>
      <c r="K65" s="56"/>
      <c r="L65" s="29"/>
      <c r="M65" s="57"/>
      <c r="O65" s="72"/>
      <c r="P65" s="455"/>
      <c r="Q65" s="455"/>
      <c r="R65" s="455">
        <f>IF(F63="","",IF(H63&lt;&gt;100,3,""))</f>
        <v>3</v>
      </c>
      <c r="S65" s="73">
        <f>IF(F63=1,60,"")</f>
        <v>60</v>
      </c>
      <c r="T65" s="72"/>
      <c r="U65" s="455"/>
      <c r="V65" s="455"/>
      <c r="W65" s="455">
        <f>IF(J63="","",IF(L63&lt;&gt;100,3,""))</f>
        <v>3</v>
      </c>
      <c r="X65" s="73">
        <f>IF(J63=1,60,"")</f>
        <v>60</v>
      </c>
      <c r="Y65" s="57"/>
      <c r="Z65" s="455"/>
      <c r="AA65" s="73"/>
    </row>
    <row r="66" spans="1:27" s="13" customFormat="1" ht="15" customHeight="1">
      <c r="A66" s="455"/>
      <c r="B66" s="456"/>
      <c r="C66" s="457" t="s">
        <v>661</v>
      </c>
      <c r="D66" s="370" t="s">
        <v>557</v>
      </c>
      <c r="E66" s="370"/>
      <c r="F66" s="525"/>
      <c r="G66" s="408"/>
      <c r="H66" s="29"/>
      <c r="I66" s="57"/>
      <c r="J66" s="525"/>
      <c r="K66" s="408"/>
      <c r="L66" s="29"/>
      <c r="M66" s="57"/>
      <c r="O66" s="72"/>
      <c r="P66" s="455"/>
      <c r="Q66" s="455"/>
      <c r="R66" s="455"/>
      <c r="S66" s="73">
        <f>IF(F63=1,40,"")</f>
        <v>40</v>
      </c>
      <c r="T66" s="72"/>
      <c r="U66" s="455"/>
      <c r="V66" s="455"/>
      <c r="W66" s="455"/>
      <c r="X66" s="73">
        <f>IF(J63=1,40,"")</f>
        <v>40</v>
      </c>
      <c r="Y66" s="57"/>
      <c r="Z66" s="455"/>
      <c r="AA66" s="73"/>
    </row>
    <row r="67" spans="1:27" s="13" customFormat="1" ht="14.25" thickBot="1">
      <c r="A67" s="461"/>
      <c r="B67" s="408"/>
      <c r="C67" s="468" t="s">
        <v>662</v>
      </c>
      <c r="D67" s="469" t="s">
        <v>361</v>
      </c>
      <c r="E67" s="471"/>
      <c r="F67" s="532"/>
      <c r="G67" s="533"/>
      <c r="H67" s="533"/>
      <c r="I67" s="534"/>
      <c r="J67" s="532"/>
      <c r="K67" s="533"/>
      <c r="L67" s="533"/>
      <c r="M67" s="534"/>
      <c r="O67" s="74"/>
      <c r="P67" s="453"/>
      <c r="Q67" s="453"/>
      <c r="R67" s="453"/>
      <c r="S67" s="75">
        <f>IF(F63=1,20,"")</f>
        <v>20</v>
      </c>
      <c r="T67" s="74"/>
      <c r="U67" s="453"/>
      <c r="V67" s="453"/>
      <c r="W67" s="453"/>
      <c r="X67" s="75">
        <f>IF(J63=1,20,"")</f>
        <v>20</v>
      </c>
      <c r="Y67" s="452"/>
      <c r="Z67" s="453"/>
      <c r="AA67" s="75"/>
    </row>
    <row r="68" spans="2:24" s="13" customFormat="1" ht="14.25" thickBot="1">
      <c r="B68" s="470"/>
      <c r="C68" s="470"/>
      <c r="D68" s="470"/>
      <c r="F68" s="55"/>
      <c r="G68" s="55"/>
      <c r="H68" s="55"/>
      <c r="I68" s="55"/>
      <c r="J68" s="55"/>
      <c r="K68" s="29"/>
      <c r="L68" s="29"/>
      <c r="M68" s="29"/>
      <c r="O68" s="30"/>
      <c r="P68" s="29"/>
      <c r="Q68" s="29"/>
      <c r="R68" s="29"/>
      <c r="S68" s="31"/>
      <c r="T68" s="30"/>
      <c r="U68" s="29"/>
      <c r="V68" s="29"/>
      <c r="W68" s="29"/>
      <c r="X68" s="31"/>
    </row>
    <row r="69" spans="1:27" s="13" customFormat="1" ht="19.5" customHeight="1">
      <c r="A69" s="17" t="s">
        <v>611</v>
      </c>
      <c r="B69" s="540" t="s">
        <v>729</v>
      </c>
      <c r="C69" s="541"/>
      <c r="D69" s="542"/>
      <c r="E69" s="27" t="s">
        <v>711</v>
      </c>
      <c r="F69" s="335">
        <v>1</v>
      </c>
      <c r="G69" s="27" t="str">
        <f>IF(F69=1,"実施率","")</f>
        <v>実施率</v>
      </c>
      <c r="H69" s="341">
        <v>80</v>
      </c>
      <c r="I69" s="260" t="str">
        <f>IF(F69=1,"%程度","")</f>
        <v>%程度</v>
      </c>
      <c r="J69" s="335">
        <v>1</v>
      </c>
      <c r="K69" s="27" t="str">
        <f>IF(J69=1,"実施率","")</f>
        <v>実施率</v>
      </c>
      <c r="L69" s="341">
        <v>80</v>
      </c>
      <c r="M69" s="260" t="str">
        <f>IF(J69=1,"%程度","")</f>
        <v>%程度</v>
      </c>
      <c r="O69" s="70">
        <f>IF(F69=1,IF(H69&gt;0,F69*H69,100),IF(F69=2,0,""))</f>
        <v>80</v>
      </c>
      <c r="P69" s="454">
        <f>IF(F69="","",1)</f>
        <v>1</v>
      </c>
      <c r="Q69" s="454">
        <f>IF(F70=1,100,O69)</f>
        <v>100</v>
      </c>
      <c r="R69" s="454">
        <f>IF(F69="","",IF(H69&lt;&gt;100,1,""))</f>
        <v>1</v>
      </c>
      <c r="S69" s="71">
        <f>IF(F69=1,100,"")</f>
        <v>100</v>
      </c>
      <c r="T69" s="70">
        <f>IF(J69=1,IF(L69&gt;0,J69*L69,100),IF(J69=2,0,""))</f>
        <v>80</v>
      </c>
      <c r="U69" s="454">
        <f>IF(J69="","",1)</f>
        <v>1</v>
      </c>
      <c r="V69" s="454">
        <f>IF(J70=1,100,T69)</f>
        <v>80</v>
      </c>
      <c r="W69" s="454">
        <f>IF(J69="","",IF(L69&lt;&gt;100,1,""))</f>
        <v>1</v>
      </c>
      <c r="X69" s="71">
        <f>IF(J69=1,100,"")</f>
        <v>100</v>
      </c>
      <c r="Y69" s="67">
        <f>IF(AND(P69="",U69=""),"",(IF(P69="",0,O69*Y$17)+IF(U69="",0,T69*Z$17))/(IF(P69=22,0,Y$17)+IF(U69="",0,Z$17)))</f>
        <v>80</v>
      </c>
      <c r="Z69" s="454">
        <f>IF(AND(P69="",U69=""),"",(IF(P69="",0,Q69*Y$17)+IF(U69="",0,V69*Z$17))/(IF(P69=22,0,Y$17)+IF(U69="",0,Z$17)))</f>
        <v>95</v>
      </c>
      <c r="AA69" s="71">
        <f>IF(AND(P69="",U69=""),"",1)</f>
        <v>1</v>
      </c>
    </row>
    <row r="70" spans="1:27" s="13" customFormat="1" ht="30" customHeight="1">
      <c r="A70" s="530" t="s">
        <v>185</v>
      </c>
      <c r="B70" s="549" t="s">
        <v>186</v>
      </c>
      <c r="C70" s="550"/>
      <c r="D70" s="550"/>
      <c r="E70" s="550"/>
      <c r="F70" s="524">
        <v>1</v>
      </c>
      <c r="G70" s="405"/>
      <c r="H70" s="29"/>
      <c r="I70" s="406"/>
      <c r="J70" s="524">
        <v>3</v>
      </c>
      <c r="K70" s="405"/>
      <c r="L70" s="29"/>
      <c r="M70" s="406"/>
      <c r="O70" s="72"/>
      <c r="P70" s="455"/>
      <c r="Q70" s="455"/>
      <c r="R70" s="455">
        <f>IF(F69="","",IF(H69&lt;&gt;100,2,""))</f>
        <v>2</v>
      </c>
      <c r="S70" s="73">
        <f>IF(F69=1,80,"")</f>
        <v>80</v>
      </c>
      <c r="T70" s="72"/>
      <c r="U70" s="455"/>
      <c r="V70" s="455"/>
      <c r="W70" s="455">
        <f>IF(J69="","",IF(L69&lt;&gt;100,2,""))</f>
        <v>2</v>
      </c>
      <c r="X70" s="73">
        <f>IF(J69=1,80,"")</f>
        <v>80</v>
      </c>
      <c r="Y70" s="57"/>
      <c r="Z70" s="455"/>
      <c r="AA70" s="73"/>
    </row>
    <row r="71" spans="1:27" s="13" customFormat="1" ht="27.75" customHeight="1">
      <c r="A71" s="530"/>
      <c r="B71" s="456"/>
      <c r="C71" s="457" t="s">
        <v>180</v>
      </c>
      <c r="D71" s="370" t="s">
        <v>56</v>
      </c>
      <c r="E71" s="370"/>
      <c r="F71" s="535"/>
      <c r="G71" s="56"/>
      <c r="H71" s="29"/>
      <c r="I71" s="57"/>
      <c r="J71" s="535"/>
      <c r="K71" s="56"/>
      <c r="L71" s="29"/>
      <c r="M71" s="57"/>
      <c r="O71" s="72"/>
      <c r="P71" s="455"/>
      <c r="Q71" s="455"/>
      <c r="R71" s="455">
        <f>IF(F69="","",IF(H69&lt;&gt;100,3,""))</f>
        <v>3</v>
      </c>
      <c r="S71" s="73">
        <f>IF(F69=1,60,"")</f>
        <v>60</v>
      </c>
      <c r="T71" s="72"/>
      <c r="U71" s="455"/>
      <c r="V71" s="455"/>
      <c r="W71" s="455">
        <f>IF(J69="","",IF(L69&lt;&gt;100,3,""))</f>
        <v>3</v>
      </c>
      <c r="X71" s="73">
        <f>IF(J69=1,60,"")</f>
        <v>60</v>
      </c>
      <c r="Y71" s="57"/>
      <c r="Z71" s="455"/>
      <c r="AA71" s="73"/>
    </row>
    <row r="72" spans="1:27" s="13" customFormat="1" ht="27" customHeight="1">
      <c r="A72" s="455"/>
      <c r="B72" s="456"/>
      <c r="C72" s="457" t="s">
        <v>661</v>
      </c>
      <c r="D72" s="370" t="s">
        <v>14</v>
      </c>
      <c r="E72" s="370"/>
      <c r="F72" s="525"/>
      <c r="G72" s="408"/>
      <c r="H72" s="29"/>
      <c r="I72" s="57"/>
      <c r="J72" s="525"/>
      <c r="K72" s="408"/>
      <c r="L72" s="29"/>
      <c r="M72" s="57"/>
      <c r="O72" s="72"/>
      <c r="P72" s="455"/>
      <c r="Q72" s="455"/>
      <c r="R72" s="455"/>
      <c r="S72" s="73">
        <f>IF(F69=1,40,"")</f>
        <v>40</v>
      </c>
      <c r="T72" s="72"/>
      <c r="U72" s="455"/>
      <c r="V72" s="455"/>
      <c r="W72" s="455"/>
      <c r="X72" s="73">
        <f>IF(J69=1,40,"")</f>
        <v>40</v>
      </c>
      <c r="Y72" s="57"/>
      <c r="Z72" s="455"/>
      <c r="AA72" s="73"/>
    </row>
    <row r="73" spans="1:27" s="13" customFormat="1" ht="14.25" customHeight="1">
      <c r="A73" s="455"/>
      <c r="B73" s="408"/>
      <c r="C73" s="468" t="s">
        <v>662</v>
      </c>
      <c r="D73" s="370" t="s">
        <v>361</v>
      </c>
      <c r="E73" s="471"/>
      <c r="F73" s="532"/>
      <c r="G73" s="533"/>
      <c r="H73" s="533"/>
      <c r="I73" s="534"/>
      <c r="J73" s="532"/>
      <c r="K73" s="533"/>
      <c r="L73" s="533"/>
      <c r="M73" s="534"/>
      <c r="O73" s="460"/>
      <c r="P73" s="461"/>
      <c r="Q73" s="461"/>
      <c r="R73" s="461"/>
      <c r="S73" s="462">
        <f>IF(F69=1,20,"")</f>
        <v>20</v>
      </c>
      <c r="T73" s="460"/>
      <c r="U73" s="461"/>
      <c r="V73" s="461"/>
      <c r="W73" s="461"/>
      <c r="X73" s="462">
        <f>IF(J69=1,20,"")</f>
        <v>20</v>
      </c>
      <c r="Y73" s="409"/>
      <c r="Z73" s="461"/>
      <c r="AA73" s="462"/>
    </row>
    <row r="74" spans="1:27" s="13" customFormat="1" ht="23.25" customHeight="1">
      <c r="A74" s="455"/>
      <c r="B74" s="540" t="s">
        <v>730</v>
      </c>
      <c r="C74" s="541"/>
      <c r="D74" s="542"/>
      <c r="E74" s="27" t="s">
        <v>671</v>
      </c>
      <c r="F74" s="335">
        <v>1</v>
      </c>
      <c r="G74" s="27" t="str">
        <f>IF(F74=1,"実施率","")</f>
        <v>実施率</v>
      </c>
      <c r="H74" s="341">
        <v>80</v>
      </c>
      <c r="I74" s="260" t="str">
        <f>IF(F74=1,"%程度","")</f>
        <v>%程度</v>
      </c>
      <c r="J74" s="335">
        <v>1</v>
      </c>
      <c r="K74" s="27" t="str">
        <f>IF(J74=1,"実施率","")</f>
        <v>実施率</v>
      </c>
      <c r="L74" s="341">
        <v>80</v>
      </c>
      <c r="M74" s="260" t="str">
        <f>IF(J74=1,"%程度","")</f>
        <v>%程度</v>
      </c>
      <c r="O74" s="463">
        <f>IF(F74=1,IF(H74&gt;0,F74*H74,100),IF(F74=2,0,""))</f>
        <v>80</v>
      </c>
      <c r="P74" s="464">
        <f>IF(F74="","",1)</f>
        <v>1</v>
      </c>
      <c r="Q74" s="464">
        <f>IF(F75=1,100,O74)</f>
        <v>100</v>
      </c>
      <c r="R74" s="464">
        <f>IF(F74="","",IF(H74&lt;&gt;100,1,""))</f>
        <v>1</v>
      </c>
      <c r="S74" s="465">
        <f>IF(F74=1,100,"")</f>
        <v>100</v>
      </c>
      <c r="T74" s="463">
        <f>IF(J74=1,IF(L74&gt;0,J74*L74,100),IF(J74=2,0,""))</f>
        <v>80</v>
      </c>
      <c r="U74" s="464">
        <f>IF(J74="","",1)</f>
        <v>1</v>
      </c>
      <c r="V74" s="464">
        <f>IF(J75=1,100,T74)</f>
        <v>80</v>
      </c>
      <c r="W74" s="464">
        <f>IF(J74="","",IF(L74&lt;&gt;100,1,""))</f>
        <v>1</v>
      </c>
      <c r="X74" s="465">
        <f>IF(J74=1,100,"")</f>
        <v>100</v>
      </c>
      <c r="Y74" s="406">
        <f>IF(AND(P74="",U74=""),"",(IF(P74="",0,O74*Y$17)+IF(U74="",0,T74*Z$17))/(IF(P74=22,0,Y$17)+IF(U74="",0,Z$17)))</f>
        <v>80</v>
      </c>
      <c r="Z74" s="464">
        <f>IF(AND(P74="",U74=""),"",(IF(P74="",0,Q74*Y$17)+IF(U74="",0,V74*Z$17))/(IF(P74=22,0,Y$17)+IF(U74="",0,Z$17)))</f>
        <v>95</v>
      </c>
      <c r="AA74" s="465">
        <f>IF(AND(P74="",U74=""),"",1)</f>
        <v>1</v>
      </c>
    </row>
    <row r="75" spans="1:27" s="13" customFormat="1" ht="33" customHeight="1">
      <c r="A75" s="455"/>
      <c r="B75" s="549" t="s">
        <v>187</v>
      </c>
      <c r="C75" s="550"/>
      <c r="D75" s="550"/>
      <c r="E75" s="550"/>
      <c r="F75" s="524">
        <v>1</v>
      </c>
      <c r="G75" s="405"/>
      <c r="H75" s="29"/>
      <c r="I75" s="406"/>
      <c r="J75" s="524">
        <v>3</v>
      </c>
      <c r="K75" s="405"/>
      <c r="L75" s="29"/>
      <c r="M75" s="406"/>
      <c r="O75" s="72"/>
      <c r="P75" s="455"/>
      <c r="Q75" s="455"/>
      <c r="R75" s="455">
        <f>IF(F74="","",IF(H74&lt;&gt;100,2,""))</f>
        <v>2</v>
      </c>
      <c r="S75" s="73">
        <f>IF(F74=1,80,"")</f>
        <v>80</v>
      </c>
      <c r="T75" s="72"/>
      <c r="U75" s="455"/>
      <c r="V75" s="455"/>
      <c r="W75" s="455">
        <f>IF(J74="","",IF(L74&lt;&gt;100,2,""))</f>
        <v>2</v>
      </c>
      <c r="X75" s="73">
        <f>IF(J74=1,80,"")</f>
        <v>80</v>
      </c>
      <c r="Y75" s="57"/>
      <c r="Z75" s="455"/>
      <c r="AA75" s="73"/>
    </row>
    <row r="76" spans="1:27" s="13" customFormat="1" ht="27" customHeight="1">
      <c r="A76" s="455"/>
      <c r="B76" s="456"/>
      <c r="C76" s="457" t="s">
        <v>180</v>
      </c>
      <c r="D76" s="370" t="s">
        <v>57</v>
      </c>
      <c r="E76" s="370"/>
      <c r="F76" s="535"/>
      <c r="G76" s="56"/>
      <c r="H76" s="29"/>
      <c r="I76" s="57"/>
      <c r="J76" s="535"/>
      <c r="K76" s="56"/>
      <c r="L76" s="29"/>
      <c r="M76" s="57"/>
      <c r="O76" s="72"/>
      <c r="P76" s="455"/>
      <c r="Q76" s="455"/>
      <c r="R76" s="455">
        <f>IF(F74="","",IF(H74&lt;&gt;100,3,""))</f>
        <v>3</v>
      </c>
      <c r="S76" s="73">
        <f>IF(F74=1,60,"")</f>
        <v>60</v>
      </c>
      <c r="T76" s="72"/>
      <c r="U76" s="455"/>
      <c r="V76" s="455"/>
      <c r="W76" s="455">
        <f>IF(J74="","",IF(L74&lt;&gt;100,3,""))</f>
        <v>3</v>
      </c>
      <c r="X76" s="73">
        <f>IF(J74=1,60,"")</f>
        <v>60</v>
      </c>
      <c r="Y76" s="57"/>
      <c r="Z76" s="455"/>
      <c r="AA76" s="73"/>
    </row>
    <row r="77" spans="1:27" s="13" customFormat="1" ht="27" customHeight="1">
      <c r="A77" s="455"/>
      <c r="B77" s="456"/>
      <c r="C77" s="457" t="s">
        <v>661</v>
      </c>
      <c r="D77" s="370" t="s">
        <v>672</v>
      </c>
      <c r="E77" s="370"/>
      <c r="F77" s="525"/>
      <c r="G77" s="408"/>
      <c r="H77" s="29"/>
      <c r="I77" s="57"/>
      <c r="J77" s="525"/>
      <c r="K77" s="408"/>
      <c r="L77" s="29"/>
      <c r="M77" s="57"/>
      <c r="O77" s="72"/>
      <c r="P77" s="455"/>
      <c r="Q77" s="455"/>
      <c r="R77" s="455"/>
      <c r="S77" s="73">
        <f>IF(F74=1,40,"")</f>
        <v>40</v>
      </c>
      <c r="T77" s="72"/>
      <c r="U77" s="455"/>
      <c r="V77" s="455"/>
      <c r="W77" s="455"/>
      <c r="X77" s="73">
        <f>IF(J74=1,40,"")</f>
        <v>40</v>
      </c>
      <c r="Y77" s="57"/>
      <c r="Z77" s="455"/>
      <c r="AA77" s="73"/>
    </row>
    <row r="78" spans="1:27" s="13" customFormat="1" ht="13.5">
      <c r="A78" s="455"/>
      <c r="B78" s="408"/>
      <c r="C78" s="468" t="s">
        <v>662</v>
      </c>
      <c r="D78" s="469" t="s">
        <v>361</v>
      </c>
      <c r="E78" s="471"/>
      <c r="F78" s="532"/>
      <c r="G78" s="533"/>
      <c r="H78" s="533"/>
      <c r="I78" s="534"/>
      <c r="J78" s="532"/>
      <c r="K78" s="533"/>
      <c r="L78" s="533"/>
      <c r="M78" s="534"/>
      <c r="O78" s="460"/>
      <c r="P78" s="461"/>
      <c r="Q78" s="461"/>
      <c r="R78" s="461"/>
      <c r="S78" s="462">
        <f>IF(F74=1,20,"")</f>
        <v>20</v>
      </c>
      <c r="T78" s="460"/>
      <c r="U78" s="461"/>
      <c r="V78" s="461"/>
      <c r="W78" s="461"/>
      <c r="X78" s="462">
        <f>IF(J74=1,20,"")</f>
        <v>20</v>
      </c>
      <c r="Y78" s="409"/>
      <c r="Z78" s="461"/>
      <c r="AA78" s="462"/>
    </row>
    <row r="79" spans="1:27" s="13" customFormat="1" ht="17.25" customHeight="1">
      <c r="A79" s="366" t="s">
        <v>565</v>
      </c>
      <c r="B79" s="540" t="s">
        <v>568</v>
      </c>
      <c r="C79" s="541"/>
      <c r="D79" s="542"/>
      <c r="E79" s="27" t="s">
        <v>188</v>
      </c>
      <c r="F79" s="335">
        <v>1</v>
      </c>
      <c r="G79" s="27" t="str">
        <f>IF(F79=1,"実施率","")</f>
        <v>実施率</v>
      </c>
      <c r="H79" s="341">
        <v>80</v>
      </c>
      <c r="I79" s="260" t="str">
        <f>IF(F79=1,"%程度","")</f>
        <v>%程度</v>
      </c>
      <c r="J79" s="335">
        <v>1</v>
      </c>
      <c r="K79" s="27" t="str">
        <f>IF(J79=1,"実施率","")</f>
        <v>実施率</v>
      </c>
      <c r="L79" s="341">
        <v>80</v>
      </c>
      <c r="M79" s="260" t="str">
        <f>IF(J79=1,"%程度","")</f>
        <v>%程度</v>
      </c>
      <c r="O79" s="72">
        <f>IF(F79=1,IF(H79&gt;0,F79*H79,100),IF(F79=2,0,""))</f>
        <v>80</v>
      </c>
      <c r="P79" s="455">
        <f>IF(F79="","",1)</f>
        <v>1</v>
      </c>
      <c r="Q79" s="455">
        <f>IF(F80=1,100,O79)</f>
        <v>100</v>
      </c>
      <c r="R79" s="455">
        <f>IF(F79="","",IF(H79&lt;&gt;100,1,""))</f>
        <v>1</v>
      </c>
      <c r="S79" s="73">
        <f>IF(F79=1,100,"")</f>
        <v>100</v>
      </c>
      <c r="T79" s="72">
        <f>IF(J79=1,IF(L79&gt;0,J79*L79,100),IF(J79=2,0,""))</f>
        <v>80</v>
      </c>
      <c r="U79" s="455">
        <f>IF(J79="","",1)</f>
        <v>1</v>
      </c>
      <c r="V79" s="455">
        <f>IF(J80=1,100,T79)</f>
        <v>80</v>
      </c>
      <c r="W79" s="455">
        <f>IF(J79="","",IF(L79&lt;&gt;100,1,""))</f>
        <v>1</v>
      </c>
      <c r="X79" s="73">
        <f>IF(J79=1,100,"")</f>
        <v>100</v>
      </c>
      <c r="Y79" s="57">
        <f>IF(AND(P79="",U79=""),"",(IF(P79="",0,O79*Y$17)+IF(U79="",0,T79*Z$17))/(IF(P79=22,0,Y$17)+IF(U79="",0,Z$17)))</f>
        <v>80</v>
      </c>
      <c r="Z79" s="455">
        <f>IF(AND(P79="",U79=""),"",(IF(P79="",0,Q79*Y$17)+IF(U79="",0,V79*Z$17))/(IF(P79=22,0,Y$17)+IF(U79="",0,Z$17)))</f>
        <v>95</v>
      </c>
      <c r="AA79" s="73">
        <f>IF(AND(P79="",U79=""),"",1)</f>
        <v>1</v>
      </c>
    </row>
    <row r="80" spans="1:27" s="13" customFormat="1" ht="30.75" customHeight="1">
      <c r="A80" s="455"/>
      <c r="B80" s="549" t="s">
        <v>551</v>
      </c>
      <c r="C80" s="550"/>
      <c r="D80" s="550"/>
      <c r="E80" s="550"/>
      <c r="F80" s="524">
        <v>1</v>
      </c>
      <c r="G80" s="405"/>
      <c r="H80" s="29"/>
      <c r="I80" s="406"/>
      <c r="J80" s="524">
        <v>3</v>
      </c>
      <c r="K80" s="405"/>
      <c r="L80" s="29"/>
      <c r="M80" s="406"/>
      <c r="O80" s="72"/>
      <c r="P80" s="455"/>
      <c r="Q80" s="455"/>
      <c r="R80" s="455">
        <f>IF(F79="","",IF(H79&lt;&gt;100,2,""))</f>
        <v>2</v>
      </c>
      <c r="S80" s="73">
        <f>IF(F79=1,80,"")</f>
        <v>80</v>
      </c>
      <c r="T80" s="72"/>
      <c r="U80" s="455"/>
      <c r="V80" s="455"/>
      <c r="W80" s="455">
        <f>IF(J79="","",IF(L79&lt;&gt;100,2,""))</f>
        <v>2</v>
      </c>
      <c r="X80" s="73">
        <f>IF(J79=1,80,"")</f>
        <v>80</v>
      </c>
      <c r="Y80" s="57"/>
      <c r="Z80" s="455"/>
      <c r="AA80" s="73"/>
    </row>
    <row r="81" spans="1:27" s="13" customFormat="1" ht="13.5">
      <c r="A81" s="455"/>
      <c r="B81" s="456"/>
      <c r="C81" s="472" t="s">
        <v>180</v>
      </c>
      <c r="D81" s="458" t="s">
        <v>58</v>
      </c>
      <c r="E81" s="458"/>
      <c r="F81" s="535"/>
      <c r="G81" s="56"/>
      <c r="H81" s="29"/>
      <c r="I81" s="57"/>
      <c r="J81" s="535"/>
      <c r="K81" s="56"/>
      <c r="L81" s="29"/>
      <c r="M81" s="57"/>
      <c r="O81" s="72"/>
      <c r="P81" s="455"/>
      <c r="Q81" s="455"/>
      <c r="R81" s="455">
        <f>IF(F79="","",IF(H79&lt;&gt;100,3,""))</f>
        <v>3</v>
      </c>
      <c r="S81" s="73">
        <f>IF(F79=1,60,"")</f>
        <v>60</v>
      </c>
      <c r="T81" s="72"/>
      <c r="U81" s="455"/>
      <c r="V81" s="455"/>
      <c r="W81" s="455">
        <f>IF(J79="","",IF(L79&lt;&gt;100,3,""))</f>
        <v>3</v>
      </c>
      <c r="X81" s="73">
        <f>IF(J79=1,60,"")</f>
        <v>60</v>
      </c>
      <c r="Y81" s="57"/>
      <c r="Z81" s="455"/>
      <c r="AA81" s="73"/>
    </row>
    <row r="82" spans="1:27" s="13" customFormat="1" ht="13.5">
      <c r="A82" s="455"/>
      <c r="B82" s="56"/>
      <c r="C82" s="472" t="s">
        <v>661</v>
      </c>
      <c r="D82" s="458" t="s">
        <v>189</v>
      </c>
      <c r="E82" s="466"/>
      <c r="F82" s="525"/>
      <c r="G82" s="408"/>
      <c r="H82" s="29"/>
      <c r="I82" s="57"/>
      <c r="J82" s="525"/>
      <c r="K82" s="408"/>
      <c r="L82" s="29"/>
      <c r="M82" s="57"/>
      <c r="O82" s="72"/>
      <c r="P82" s="455"/>
      <c r="Q82" s="455"/>
      <c r="R82" s="455"/>
      <c r="S82" s="73">
        <f>IF(F79=1,40,"")</f>
        <v>40</v>
      </c>
      <c r="T82" s="72"/>
      <c r="U82" s="455"/>
      <c r="V82" s="455"/>
      <c r="W82" s="455"/>
      <c r="X82" s="73">
        <f>IF(J79=1,40,"")</f>
        <v>40</v>
      </c>
      <c r="Y82" s="57"/>
      <c r="Z82" s="455"/>
      <c r="AA82" s="73"/>
    </row>
    <row r="83" spans="1:27" s="13" customFormat="1" ht="13.5">
      <c r="A83" s="455"/>
      <c r="B83" s="408"/>
      <c r="C83" s="472" t="s">
        <v>101</v>
      </c>
      <c r="D83" s="469" t="s">
        <v>361</v>
      </c>
      <c r="E83" s="459"/>
      <c r="F83" s="532"/>
      <c r="G83" s="533"/>
      <c r="H83" s="533"/>
      <c r="I83" s="534"/>
      <c r="J83" s="532"/>
      <c r="K83" s="533"/>
      <c r="L83" s="533"/>
      <c r="M83" s="534"/>
      <c r="O83" s="460"/>
      <c r="P83" s="461"/>
      <c r="Q83" s="461"/>
      <c r="R83" s="461"/>
      <c r="S83" s="462">
        <f>IF(F79=1,20,"")</f>
        <v>20</v>
      </c>
      <c r="T83" s="460"/>
      <c r="U83" s="461"/>
      <c r="V83" s="461"/>
      <c r="W83" s="461"/>
      <c r="X83" s="462">
        <f>IF(J79=1,20,"")</f>
        <v>20</v>
      </c>
      <c r="Y83" s="409"/>
      <c r="Z83" s="461"/>
      <c r="AA83" s="462"/>
    </row>
    <row r="84" spans="1:27" s="13" customFormat="1" ht="16.5" customHeight="1">
      <c r="A84" s="455"/>
      <c r="B84" s="540" t="s">
        <v>569</v>
      </c>
      <c r="C84" s="541"/>
      <c r="D84" s="542"/>
      <c r="E84" s="27" t="s">
        <v>671</v>
      </c>
      <c r="F84" s="335">
        <v>1</v>
      </c>
      <c r="G84" s="27" t="str">
        <f>IF(F84=1,"実施率","")</f>
        <v>実施率</v>
      </c>
      <c r="H84" s="341">
        <v>80</v>
      </c>
      <c r="I84" s="260" t="str">
        <f>IF(F84=1,"%程度","")</f>
        <v>%程度</v>
      </c>
      <c r="J84" s="335">
        <v>1</v>
      </c>
      <c r="K84" s="27" t="str">
        <f>IF(J84=1,"実施率","")</f>
        <v>実施率</v>
      </c>
      <c r="L84" s="341">
        <v>80</v>
      </c>
      <c r="M84" s="260" t="str">
        <f>IF(J84=1,"%程度","")</f>
        <v>%程度</v>
      </c>
      <c r="O84" s="463">
        <f>IF(F84=1,IF(H84&gt;0,F84*H84,100),IF(F84=2,0,""))</f>
        <v>80</v>
      </c>
      <c r="P84" s="464">
        <f>IF(F84="","",1)</f>
        <v>1</v>
      </c>
      <c r="Q84" s="464">
        <f>IF(F85=1,100,O84)</f>
        <v>100</v>
      </c>
      <c r="R84" s="464">
        <f>IF(F84="","",IF(H84&lt;&gt;100,1,""))</f>
        <v>1</v>
      </c>
      <c r="S84" s="465">
        <f>IF(F84=1,100,"")</f>
        <v>100</v>
      </c>
      <c r="T84" s="463">
        <f>IF(J84=1,IF(L84&gt;0,J84*L84,100),IF(J84=2,0,""))</f>
        <v>80</v>
      </c>
      <c r="U84" s="464">
        <f>IF(J84="","",1)</f>
        <v>1</v>
      </c>
      <c r="V84" s="464">
        <f>IF(J85=1,100,T84)</f>
        <v>80</v>
      </c>
      <c r="W84" s="464">
        <f>IF(J84="","",IF(L84&lt;&gt;100,1,""))</f>
        <v>1</v>
      </c>
      <c r="X84" s="465">
        <f>IF(J84=1,100,"")</f>
        <v>100</v>
      </c>
      <c r="Y84" s="406">
        <f>IF(AND(P84="",U84=""),"",(IF(P84="",0,O84*Y$17)+IF(U84="",0,T84*Z$17))/(IF(P84=22,0,Y$17)+IF(U84="",0,Z$17)))</f>
        <v>80</v>
      </c>
      <c r="Z84" s="464">
        <f>IF(AND(P84="",U84=""),"",(IF(P84="",0,Q84*Y$17)+IF(U84="",0,V84*Z$17))/(IF(P84=22,0,Y$17)+IF(U84="",0,Z$17)))</f>
        <v>95</v>
      </c>
      <c r="AA84" s="465">
        <f>IF(AND(P84="",U84=""),"",1)</f>
        <v>1</v>
      </c>
    </row>
    <row r="85" spans="1:27" s="13" customFormat="1" ht="33" customHeight="1">
      <c r="A85" s="455"/>
      <c r="B85" s="549" t="s">
        <v>552</v>
      </c>
      <c r="C85" s="550"/>
      <c r="D85" s="550"/>
      <c r="E85" s="550"/>
      <c r="F85" s="524">
        <v>1</v>
      </c>
      <c r="G85" s="405"/>
      <c r="H85" s="55"/>
      <c r="I85" s="406"/>
      <c r="J85" s="524">
        <v>2</v>
      </c>
      <c r="K85" s="405"/>
      <c r="L85" s="55"/>
      <c r="M85" s="406"/>
      <c r="O85" s="72"/>
      <c r="P85" s="455"/>
      <c r="Q85" s="455"/>
      <c r="R85" s="455">
        <f>IF(F84="","",IF(H84&lt;&gt;100,2,""))</f>
        <v>2</v>
      </c>
      <c r="S85" s="73">
        <f>IF(F84=1,80,"")</f>
        <v>80</v>
      </c>
      <c r="T85" s="72"/>
      <c r="U85" s="455"/>
      <c r="V85" s="455"/>
      <c r="W85" s="455">
        <f>IF(J84="","",IF(L84&lt;&gt;100,2,""))</f>
        <v>2</v>
      </c>
      <c r="X85" s="73">
        <f>IF(J84=1,80,"")</f>
        <v>80</v>
      </c>
      <c r="Y85" s="57"/>
      <c r="Z85" s="455"/>
      <c r="AA85" s="73"/>
    </row>
    <row r="86" spans="1:27" s="13" customFormat="1" ht="13.5">
      <c r="A86" s="455"/>
      <c r="B86" s="456"/>
      <c r="C86" s="457" t="s">
        <v>180</v>
      </c>
      <c r="D86" s="370" t="s">
        <v>58</v>
      </c>
      <c r="E86" s="458"/>
      <c r="F86" s="525"/>
      <c r="G86" s="408"/>
      <c r="H86" s="407"/>
      <c r="I86" s="409"/>
      <c r="J86" s="525"/>
      <c r="K86" s="408"/>
      <c r="L86" s="407"/>
      <c r="M86" s="409"/>
      <c r="O86" s="72"/>
      <c r="P86" s="455"/>
      <c r="Q86" s="455"/>
      <c r="R86" s="455"/>
      <c r="S86" s="73">
        <f>IF(F84=1,60,"")</f>
        <v>60</v>
      </c>
      <c r="T86" s="72"/>
      <c r="U86" s="455"/>
      <c r="V86" s="455"/>
      <c r="W86" s="455"/>
      <c r="X86" s="73">
        <f>IF(J84=1,60,"")</f>
        <v>60</v>
      </c>
      <c r="Y86" s="57"/>
      <c r="Z86" s="455"/>
      <c r="AA86" s="73"/>
    </row>
    <row r="87" spans="1:27" s="13" customFormat="1" ht="13.5">
      <c r="A87" s="461"/>
      <c r="B87" s="408"/>
      <c r="C87" s="468" t="s">
        <v>661</v>
      </c>
      <c r="D87" s="469" t="s">
        <v>361</v>
      </c>
      <c r="E87" s="459"/>
      <c r="F87" s="532"/>
      <c r="G87" s="533"/>
      <c r="H87" s="533"/>
      <c r="I87" s="534"/>
      <c r="J87" s="532"/>
      <c r="K87" s="533"/>
      <c r="L87" s="533"/>
      <c r="M87" s="534"/>
      <c r="O87" s="72"/>
      <c r="P87" s="455"/>
      <c r="Q87" s="455"/>
      <c r="R87" s="455"/>
      <c r="S87" s="73">
        <f>IF(F84=1,40,"")</f>
        <v>40</v>
      </c>
      <c r="T87" s="72"/>
      <c r="U87" s="455"/>
      <c r="V87" s="455"/>
      <c r="W87" s="455"/>
      <c r="X87" s="73">
        <f>IF(J84=1,40,"")</f>
        <v>40</v>
      </c>
      <c r="Y87" s="57"/>
      <c r="Z87" s="455"/>
      <c r="AA87" s="73"/>
    </row>
    <row r="88" spans="2:27" s="13" customFormat="1" ht="14.25" thickBot="1">
      <c r="B88" s="470"/>
      <c r="C88" s="470"/>
      <c r="D88" s="470"/>
      <c r="F88" s="28"/>
      <c r="G88" s="28"/>
      <c r="H88" s="28"/>
      <c r="I88" s="28"/>
      <c r="J88" s="28"/>
      <c r="K88" s="29"/>
      <c r="L88" s="29"/>
      <c r="M88" s="29"/>
      <c r="O88" s="74"/>
      <c r="P88" s="453"/>
      <c r="Q88" s="453"/>
      <c r="R88" s="453"/>
      <c r="S88" s="75">
        <f>IF(F84=1,20,"")</f>
        <v>20</v>
      </c>
      <c r="T88" s="74"/>
      <c r="U88" s="453"/>
      <c r="V88" s="453"/>
      <c r="W88" s="453"/>
      <c r="X88" s="75">
        <f>IF(J84=1,20,"")</f>
        <v>20</v>
      </c>
      <c r="Y88" s="452"/>
      <c r="Z88" s="453"/>
      <c r="AA88" s="75"/>
    </row>
    <row r="89" spans="1:27" s="13" customFormat="1" ht="31.5" customHeight="1">
      <c r="A89" s="17" t="s">
        <v>612</v>
      </c>
      <c r="B89" s="540" t="s">
        <v>360</v>
      </c>
      <c r="C89" s="541"/>
      <c r="D89" s="542"/>
      <c r="E89" s="27" t="s">
        <v>665</v>
      </c>
      <c r="F89" s="335">
        <v>1</v>
      </c>
      <c r="G89" s="27" t="str">
        <f>IF(F89=1,"実施率","")</f>
        <v>実施率</v>
      </c>
      <c r="H89" s="341">
        <v>80</v>
      </c>
      <c r="I89" s="260" t="str">
        <f>IF(F89=1,"%程度","")</f>
        <v>%程度</v>
      </c>
      <c r="J89" s="335">
        <v>1</v>
      </c>
      <c r="K89" s="27" t="str">
        <f>IF(J89=1,"実施率","")</f>
        <v>実施率</v>
      </c>
      <c r="L89" s="341">
        <v>80</v>
      </c>
      <c r="M89" s="260" t="str">
        <f>IF(J89=1,"%程度","")</f>
        <v>%程度</v>
      </c>
      <c r="O89" s="70">
        <f>IF(F89=1,IF(H89&gt;0,F89*H89,100),IF(F89=2,0,""))</f>
        <v>80</v>
      </c>
      <c r="P89" s="454">
        <f>IF(F89="","",1)</f>
        <v>1</v>
      </c>
      <c r="Q89" s="454">
        <f>IF(F90=1,100,O89)</f>
        <v>100</v>
      </c>
      <c r="R89" s="454">
        <f>IF(F89="","",IF(H89&lt;&gt;100,1,""))</f>
        <v>1</v>
      </c>
      <c r="S89" s="71">
        <f>IF(F89=1,100,"")</f>
        <v>100</v>
      </c>
      <c r="T89" s="70">
        <f>IF(J89=1,IF(L89&gt;0,J89*L89,100),IF(J89=2,0,""))</f>
        <v>80</v>
      </c>
      <c r="U89" s="454">
        <f>IF(J89="","",1)</f>
        <v>1</v>
      </c>
      <c r="V89" s="454">
        <f>IF(J90=1,100,T89)</f>
        <v>80</v>
      </c>
      <c r="W89" s="454">
        <f>IF(J89="","",IF(L89&lt;&gt;100,1,""))</f>
        <v>1</v>
      </c>
      <c r="X89" s="71">
        <f>IF(J89=1,100,"")</f>
        <v>100</v>
      </c>
      <c r="Y89" s="67">
        <f>IF(AND(P89="",U89=""),"",(IF(P89="",0,O89*Y$17)+IF(U89="",0,T89*Z$17))/(IF(P89=22,0,Y$17)+IF(U89="",0,Z$17)))</f>
        <v>80</v>
      </c>
      <c r="Z89" s="454">
        <f>IF(AND(P89="",U89=""),"",(IF(P89="",0,Q89*Y$17)+IF(U89="",0,V89*Z$17))/(IF(P89=22,0,Y$17)+IF(U89="",0,Z$17)))</f>
        <v>95</v>
      </c>
      <c r="AA89" s="71">
        <f>IF(AND(P89="",U89=""),"",1)</f>
        <v>1</v>
      </c>
    </row>
    <row r="90" spans="1:27" s="13" customFormat="1" ht="30" customHeight="1">
      <c r="A90" s="455"/>
      <c r="B90" s="549" t="s">
        <v>364</v>
      </c>
      <c r="C90" s="550"/>
      <c r="D90" s="550"/>
      <c r="E90" s="550"/>
      <c r="F90" s="524">
        <v>1</v>
      </c>
      <c r="G90" s="405"/>
      <c r="H90" s="29"/>
      <c r="I90" s="406"/>
      <c r="J90" s="524">
        <v>3</v>
      </c>
      <c r="K90" s="405"/>
      <c r="L90" s="29"/>
      <c r="M90" s="406"/>
      <c r="O90" s="72"/>
      <c r="P90" s="455"/>
      <c r="Q90" s="455"/>
      <c r="R90" s="455">
        <f>IF(F89="","",IF(H89&lt;&gt;100,2,""))</f>
        <v>2</v>
      </c>
      <c r="S90" s="73">
        <f>IF(F89=1,80,"")</f>
        <v>80</v>
      </c>
      <c r="T90" s="72"/>
      <c r="U90" s="455"/>
      <c r="V90" s="455"/>
      <c r="W90" s="455">
        <f>IF(J89="","",IF(L89&lt;&gt;100,2,""))</f>
        <v>2</v>
      </c>
      <c r="X90" s="73">
        <f>IF(J89=1,80,"")</f>
        <v>80</v>
      </c>
      <c r="Y90" s="57"/>
      <c r="Z90" s="455"/>
      <c r="AA90" s="73"/>
    </row>
    <row r="91" spans="1:27" s="13" customFormat="1" ht="27">
      <c r="A91" s="455"/>
      <c r="B91" s="456"/>
      <c r="C91" s="457" t="s">
        <v>180</v>
      </c>
      <c r="D91" s="370" t="s">
        <v>59</v>
      </c>
      <c r="E91" s="413"/>
      <c r="F91" s="535"/>
      <c r="G91" s="56"/>
      <c r="H91" s="29"/>
      <c r="I91" s="57"/>
      <c r="J91" s="535"/>
      <c r="K91" s="56"/>
      <c r="L91" s="29"/>
      <c r="M91" s="57"/>
      <c r="O91" s="72"/>
      <c r="P91" s="455"/>
      <c r="Q91" s="455"/>
      <c r="R91" s="455">
        <f>IF(F89="","",IF(H89&lt;&gt;100,3,""))</f>
        <v>3</v>
      </c>
      <c r="S91" s="73">
        <f>IF(F89=1,60,"")</f>
        <v>60</v>
      </c>
      <c r="T91" s="72"/>
      <c r="U91" s="455"/>
      <c r="V91" s="455"/>
      <c r="W91" s="455">
        <f>IF(J89="","",IF(L89&lt;&gt;100,3,""))</f>
        <v>3</v>
      </c>
      <c r="X91" s="73">
        <f>IF(J89=1,60,"")</f>
        <v>60</v>
      </c>
      <c r="Y91" s="57"/>
      <c r="Z91" s="455"/>
      <c r="AA91" s="73"/>
    </row>
    <row r="92" spans="1:27" s="13" customFormat="1" ht="13.5">
      <c r="A92" s="455"/>
      <c r="B92" s="456"/>
      <c r="C92" s="472" t="s">
        <v>661</v>
      </c>
      <c r="D92" s="458" t="s">
        <v>674</v>
      </c>
      <c r="E92" s="458"/>
      <c r="F92" s="525"/>
      <c r="G92" s="408"/>
      <c r="H92" s="29"/>
      <c r="I92" s="57"/>
      <c r="J92" s="525"/>
      <c r="K92" s="408"/>
      <c r="L92" s="29"/>
      <c r="M92" s="57"/>
      <c r="O92" s="72"/>
      <c r="P92" s="455"/>
      <c r="Q92" s="455"/>
      <c r="R92" s="455"/>
      <c r="S92" s="73">
        <f>IF(F89=1,40,"")</f>
        <v>40</v>
      </c>
      <c r="T92" s="72"/>
      <c r="U92" s="455"/>
      <c r="V92" s="455"/>
      <c r="W92" s="455"/>
      <c r="X92" s="73">
        <f>IF(J89=1,40,"")</f>
        <v>40</v>
      </c>
      <c r="Y92" s="57"/>
      <c r="Z92" s="455"/>
      <c r="AA92" s="73"/>
    </row>
    <row r="93" spans="1:27" s="13" customFormat="1" ht="13.5">
      <c r="A93" s="455"/>
      <c r="B93" s="408"/>
      <c r="C93" s="473" t="s">
        <v>662</v>
      </c>
      <c r="D93" s="469" t="s">
        <v>361</v>
      </c>
      <c r="E93" s="459"/>
      <c r="F93" s="532"/>
      <c r="G93" s="533"/>
      <c r="H93" s="533"/>
      <c r="I93" s="534"/>
      <c r="J93" s="532"/>
      <c r="K93" s="533"/>
      <c r="L93" s="533"/>
      <c r="M93" s="534"/>
      <c r="O93" s="460"/>
      <c r="P93" s="461"/>
      <c r="Q93" s="461"/>
      <c r="R93" s="461"/>
      <c r="S93" s="462">
        <f>IF(F89=1,20,"")</f>
        <v>20</v>
      </c>
      <c r="T93" s="460"/>
      <c r="U93" s="461"/>
      <c r="V93" s="461"/>
      <c r="W93" s="461"/>
      <c r="X93" s="462">
        <f>IF(J89=1,20,"")</f>
        <v>20</v>
      </c>
      <c r="Y93" s="409"/>
      <c r="Z93" s="461"/>
      <c r="AA93" s="462"/>
    </row>
    <row r="94" spans="1:27" s="13" customFormat="1" ht="30" customHeight="1">
      <c r="A94" s="455"/>
      <c r="B94" s="540" t="s">
        <v>570</v>
      </c>
      <c r="C94" s="541"/>
      <c r="D94" s="542"/>
      <c r="E94" s="27" t="s">
        <v>190</v>
      </c>
      <c r="F94" s="335">
        <v>1</v>
      </c>
      <c r="G94" s="27" t="str">
        <f>IF(F94=1,"実施率","")</f>
        <v>実施率</v>
      </c>
      <c r="H94" s="341">
        <v>80</v>
      </c>
      <c r="I94" s="260" t="str">
        <f>IF(F94=1,"%程度","")</f>
        <v>%程度</v>
      </c>
      <c r="J94" s="335">
        <v>1</v>
      </c>
      <c r="K94" s="27" t="str">
        <f>IF(J94=1,"実施率","")</f>
        <v>実施率</v>
      </c>
      <c r="L94" s="341">
        <v>80</v>
      </c>
      <c r="M94" s="260" t="str">
        <f>IF(J94=1,"%程度","")</f>
        <v>%程度</v>
      </c>
      <c r="O94" s="463">
        <f>IF(F94=1,IF(H94&gt;0,F94*H94,100),IF(F94=2,0,""))</f>
        <v>80</v>
      </c>
      <c r="P94" s="464">
        <f>IF(F94="","",1)</f>
        <v>1</v>
      </c>
      <c r="Q94" s="464">
        <f>IF(F95=1,100,O94)</f>
        <v>100</v>
      </c>
      <c r="R94" s="464">
        <f>IF(F94="","",IF(H94&lt;&gt;100,1,""))</f>
        <v>1</v>
      </c>
      <c r="S94" s="465">
        <f>IF(F94=1,100,"")</f>
        <v>100</v>
      </c>
      <c r="T94" s="463">
        <f>IF(J94=1,IF(L94&gt;0,J94*L94,100),IF(J94=2,0,""))</f>
        <v>80</v>
      </c>
      <c r="U94" s="464">
        <f>IF(J94="","",1)</f>
        <v>1</v>
      </c>
      <c r="V94" s="464">
        <f>IF(J95=1,100,T94)</f>
        <v>80</v>
      </c>
      <c r="W94" s="464">
        <f>IF(J94="","",IF(L94&lt;&gt;100,1,""))</f>
        <v>1</v>
      </c>
      <c r="X94" s="465">
        <f>IF(J94=1,100,"")</f>
        <v>100</v>
      </c>
      <c r="Y94" s="406">
        <f>IF(AND(P94="",U94=""),"",(IF(P94="",0,O94*Y$17)+IF(U94="",0,T94*Z$17))/(IF(P94=22,0,Y$17)+IF(U94="",0,Z$17)))</f>
        <v>80</v>
      </c>
      <c r="Z94" s="464">
        <f>IF(AND(P94="",U94=""),"",(IF(P94="",0,Q94*Y$17)+IF(U94="",0,V94*Z$17))/(IF(P94=22,0,Y$17)+IF(U94="",0,Z$17)))</f>
        <v>95</v>
      </c>
      <c r="AA94" s="465">
        <f>IF(AND(P94="",U94=""),"",1)</f>
        <v>1</v>
      </c>
    </row>
    <row r="95" spans="1:27" s="13" customFormat="1" ht="30" customHeight="1">
      <c r="A95" s="455"/>
      <c r="B95" s="549" t="s">
        <v>553</v>
      </c>
      <c r="C95" s="550"/>
      <c r="D95" s="550"/>
      <c r="E95" s="550"/>
      <c r="F95" s="524">
        <v>1</v>
      </c>
      <c r="G95" s="405"/>
      <c r="H95" s="29"/>
      <c r="I95" s="406"/>
      <c r="J95" s="524">
        <v>3</v>
      </c>
      <c r="K95" s="405"/>
      <c r="L95" s="29"/>
      <c r="M95" s="406"/>
      <c r="O95" s="72"/>
      <c r="P95" s="455"/>
      <c r="Q95" s="455"/>
      <c r="R95" s="455">
        <f>IF(F94="","",IF(H94&lt;&gt;100,2,""))</f>
        <v>2</v>
      </c>
      <c r="S95" s="73">
        <f>IF(F94=1,80,"")</f>
        <v>80</v>
      </c>
      <c r="T95" s="72"/>
      <c r="U95" s="455"/>
      <c r="V95" s="455"/>
      <c r="W95" s="455">
        <f>IF(J94="","",IF(L94&lt;&gt;100,2,""))</f>
        <v>2</v>
      </c>
      <c r="X95" s="73">
        <f>IF(J94=1,80,"")</f>
        <v>80</v>
      </c>
      <c r="Y95" s="57"/>
      <c r="Z95" s="455"/>
      <c r="AA95" s="73"/>
    </row>
    <row r="96" spans="1:27" s="13" customFormat="1" ht="12.75" customHeight="1">
      <c r="A96" s="455"/>
      <c r="B96" s="456"/>
      <c r="C96" s="457" t="s">
        <v>180</v>
      </c>
      <c r="D96" s="370" t="s">
        <v>60</v>
      </c>
      <c r="E96" s="370"/>
      <c r="F96" s="535"/>
      <c r="G96" s="56"/>
      <c r="H96" s="29"/>
      <c r="I96" s="57"/>
      <c r="J96" s="535"/>
      <c r="K96" s="56"/>
      <c r="L96" s="29"/>
      <c r="M96" s="57"/>
      <c r="O96" s="72"/>
      <c r="P96" s="455"/>
      <c r="Q96" s="455"/>
      <c r="R96" s="455">
        <f>IF(F94="","",IF(H94&lt;&gt;100,3,""))</f>
        <v>3</v>
      </c>
      <c r="S96" s="73">
        <f>IF(F94=1,60,"")</f>
        <v>60</v>
      </c>
      <c r="T96" s="72"/>
      <c r="U96" s="455"/>
      <c r="V96" s="455"/>
      <c r="W96" s="455">
        <f>IF(J94="","",IF(L94&lt;&gt;100,3,""))</f>
        <v>3</v>
      </c>
      <c r="X96" s="73">
        <f>IF(J94=1,60,"")</f>
        <v>60</v>
      </c>
      <c r="Y96" s="57"/>
      <c r="Z96" s="455"/>
      <c r="AA96" s="73"/>
    </row>
    <row r="97" spans="1:27" s="13" customFormat="1" ht="13.5">
      <c r="A97" s="455"/>
      <c r="B97" s="456"/>
      <c r="C97" s="457" t="s">
        <v>661</v>
      </c>
      <c r="D97" s="370" t="s">
        <v>674</v>
      </c>
      <c r="E97" s="370"/>
      <c r="F97" s="525"/>
      <c r="G97" s="408"/>
      <c r="H97" s="29"/>
      <c r="I97" s="57"/>
      <c r="J97" s="525"/>
      <c r="K97" s="408"/>
      <c r="L97" s="29"/>
      <c r="M97" s="57"/>
      <c r="O97" s="72"/>
      <c r="P97" s="455"/>
      <c r="Q97" s="455"/>
      <c r="R97" s="455"/>
      <c r="S97" s="73">
        <f>IF(F94=1,40,"")</f>
        <v>40</v>
      </c>
      <c r="T97" s="72"/>
      <c r="U97" s="455"/>
      <c r="V97" s="455"/>
      <c r="W97" s="455"/>
      <c r="X97" s="73">
        <f>IF(J94=1,40,"")</f>
        <v>40</v>
      </c>
      <c r="Y97" s="57"/>
      <c r="Z97" s="455"/>
      <c r="AA97" s="73"/>
    </row>
    <row r="98" spans="1:27" s="13" customFormat="1" ht="13.5">
      <c r="A98" s="455"/>
      <c r="B98" s="408"/>
      <c r="C98" s="468" t="s">
        <v>662</v>
      </c>
      <c r="D98" s="469" t="s">
        <v>361</v>
      </c>
      <c r="E98" s="471"/>
      <c r="F98" s="532"/>
      <c r="G98" s="533"/>
      <c r="H98" s="533"/>
      <c r="I98" s="534"/>
      <c r="J98" s="532"/>
      <c r="K98" s="533"/>
      <c r="L98" s="533"/>
      <c r="M98" s="534"/>
      <c r="O98" s="460"/>
      <c r="P98" s="461"/>
      <c r="Q98" s="461"/>
      <c r="R98" s="461"/>
      <c r="S98" s="462">
        <f>IF(F94=1,20,"")</f>
        <v>20</v>
      </c>
      <c r="T98" s="460"/>
      <c r="U98" s="461"/>
      <c r="V98" s="461"/>
      <c r="W98" s="461"/>
      <c r="X98" s="462">
        <f>IF(J94=1,20,"")</f>
        <v>20</v>
      </c>
      <c r="Y98" s="409"/>
      <c r="Z98" s="461"/>
      <c r="AA98" s="462"/>
    </row>
    <row r="99" spans="1:27" s="13" customFormat="1" ht="35.25" customHeight="1">
      <c r="A99" s="455"/>
      <c r="B99" s="540" t="s">
        <v>571</v>
      </c>
      <c r="C99" s="541"/>
      <c r="D99" s="542"/>
      <c r="E99" s="27" t="s">
        <v>188</v>
      </c>
      <c r="F99" s="335">
        <v>1</v>
      </c>
      <c r="G99" s="27" t="str">
        <f>IF(F99=1,"実施率","")</f>
        <v>実施率</v>
      </c>
      <c r="H99" s="341">
        <v>80</v>
      </c>
      <c r="I99" s="260" t="str">
        <f>IF(F99=1,"%程度","")</f>
        <v>%程度</v>
      </c>
      <c r="J99" s="335">
        <v>1</v>
      </c>
      <c r="K99" s="27" t="str">
        <f>IF(J99=1,"実施率","")</f>
        <v>実施率</v>
      </c>
      <c r="L99" s="341">
        <v>100</v>
      </c>
      <c r="M99" s="260" t="str">
        <f>IF(J99=1,"%程度","")</f>
        <v>%程度</v>
      </c>
      <c r="O99" s="463">
        <f>IF(F99=1,IF(H99&gt;0,F99*H99,100),IF(F99=2,0,""))</f>
        <v>80</v>
      </c>
      <c r="P99" s="464">
        <f>IF(F99="","",1)</f>
        <v>1</v>
      </c>
      <c r="Q99" s="464">
        <f>IF(F100=1,100,O99)</f>
        <v>100</v>
      </c>
      <c r="R99" s="464">
        <f>IF(F99="","",IF(H99&lt;&gt;100,1,""))</f>
        <v>1</v>
      </c>
      <c r="S99" s="465">
        <f>IF(F99=1,100,"")</f>
        <v>100</v>
      </c>
      <c r="T99" s="463">
        <f>IF(J99=1,IF(L99&gt;0,J99*L99,100),IF(J99=2,0,""))</f>
        <v>100</v>
      </c>
      <c r="U99" s="464">
        <f>IF(J99="","",1)</f>
        <v>1</v>
      </c>
      <c r="V99" s="464">
        <f>IF(J100=1,100,T99)</f>
        <v>100</v>
      </c>
      <c r="W99" s="464">
        <f>IF(J99="","",IF(L99&lt;&gt;100,1,""))</f>
      </c>
      <c r="X99" s="465">
        <f>IF(J99=1,100,"")</f>
        <v>100</v>
      </c>
      <c r="Y99" s="406">
        <f>IF(AND(P99="",U99=""),"",(IF(P99="",0,O99*Y$17)+IF(U99="",0,T99*Z$17))/(IF(P99=22,0,Y$17)+IF(U99="",0,Z$17)))</f>
        <v>85</v>
      </c>
      <c r="Z99" s="464">
        <f>IF(AND(P99="",U99=""),"",(IF(P99="",0,Q99*Y$17)+IF(U99="",0,V99*Z$17))/(IF(P99=22,0,Y$17)+IF(U99="",0,Z$17)))</f>
        <v>100</v>
      </c>
      <c r="AA99" s="465">
        <f>IF(AND(P99="",U99=""),"",1)</f>
        <v>1</v>
      </c>
    </row>
    <row r="100" spans="1:27" s="13" customFormat="1" ht="36" customHeight="1">
      <c r="A100" s="455"/>
      <c r="B100" s="549" t="s">
        <v>554</v>
      </c>
      <c r="C100" s="550"/>
      <c r="D100" s="550"/>
      <c r="E100" s="550"/>
      <c r="F100" s="524">
        <v>1</v>
      </c>
      <c r="G100" s="405"/>
      <c r="H100" s="29"/>
      <c r="I100" s="406"/>
      <c r="J100" s="524" t="s">
        <v>100</v>
      </c>
      <c r="K100" s="405"/>
      <c r="L100" s="29"/>
      <c r="M100" s="406"/>
      <c r="O100" s="72"/>
      <c r="P100" s="455"/>
      <c r="Q100" s="455"/>
      <c r="R100" s="455">
        <f>IF(F99="","",IF(H99&lt;&gt;100,2,""))</f>
        <v>2</v>
      </c>
      <c r="S100" s="73">
        <f>IF(F99=1,80,"")</f>
        <v>80</v>
      </c>
      <c r="T100" s="72"/>
      <c r="U100" s="455"/>
      <c r="V100" s="455"/>
      <c r="W100" s="455">
        <f>IF(J99="","",IF(L99&lt;&gt;100,2,""))</f>
      </c>
      <c r="X100" s="73">
        <f>IF(J99=1,80,"")</f>
        <v>80</v>
      </c>
      <c r="Y100" s="57"/>
      <c r="Z100" s="455"/>
      <c r="AA100" s="73"/>
    </row>
    <row r="101" spans="1:27" s="13" customFormat="1" ht="13.5" customHeight="1">
      <c r="A101" s="455"/>
      <c r="B101" s="456"/>
      <c r="C101" s="457" t="s">
        <v>180</v>
      </c>
      <c r="D101" s="370" t="s">
        <v>61</v>
      </c>
      <c r="E101" s="370"/>
      <c r="F101" s="535"/>
      <c r="G101" s="56"/>
      <c r="H101" s="29"/>
      <c r="I101" s="57"/>
      <c r="J101" s="535"/>
      <c r="K101" s="56"/>
      <c r="L101" s="29"/>
      <c r="M101" s="57"/>
      <c r="O101" s="72"/>
      <c r="P101" s="455"/>
      <c r="Q101" s="455"/>
      <c r="R101" s="455">
        <f>IF(F99="","",IF(H99&lt;&gt;100,3,""))</f>
        <v>3</v>
      </c>
      <c r="S101" s="73">
        <f>IF(F99=1,60,"")</f>
        <v>60</v>
      </c>
      <c r="T101" s="72"/>
      <c r="U101" s="455"/>
      <c r="V101" s="455"/>
      <c r="W101" s="455">
        <f>IF(J99="","",IF(L99&lt;&gt;100,3,""))</f>
      </c>
      <c r="X101" s="73">
        <f>IF(J99=1,60,"")</f>
        <v>60</v>
      </c>
      <c r="Y101" s="57"/>
      <c r="Z101" s="455"/>
      <c r="AA101" s="73"/>
    </row>
    <row r="102" spans="1:27" s="13" customFormat="1" ht="12.75" customHeight="1">
      <c r="A102" s="455"/>
      <c r="B102" s="456"/>
      <c r="C102" s="457" t="s">
        <v>661</v>
      </c>
      <c r="D102" s="370" t="s">
        <v>21</v>
      </c>
      <c r="E102" s="370"/>
      <c r="F102" s="525"/>
      <c r="G102" s="408"/>
      <c r="H102" s="29"/>
      <c r="I102" s="57"/>
      <c r="J102" s="525"/>
      <c r="K102" s="408"/>
      <c r="L102" s="29"/>
      <c r="M102" s="57"/>
      <c r="O102" s="72"/>
      <c r="P102" s="455"/>
      <c r="Q102" s="455"/>
      <c r="R102" s="455"/>
      <c r="S102" s="73">
        <f>IF(F99=1,40,"")</f>
        <v>40</v>
      </c>
      <c r="T102" s="72"/>
      <c r="U102" s="455"/>
      <c r="V102" s="455"/>
      <c r="W102" s="455"/>
      <c r="X102" s="73">
        <f>IF(J99=1,40,"")</f>
        <v>40</v>
      </c>
      <c r="Y102" s="57"/>
      <c r="Z102" s="455"/>
      <c r="AA102" s="73"/>
    </row>
    <row r="103" spans="1:27" s="13" customFormat="1" ht="14.25" thickBot="1">
      <c r="A103" s="461"/>
      <c r="B103" s="408"/>
      <c r="C103" s="468" t="s">
        <v>662</v>
      </c>
      <c r="D103" s="469" t="s">
        <v>361</v>
      </c>
      <c r="E103" s="471"/>
      <c r="F103" s="532"/>
      <c r="G103" s="533"/>
      <c r="H103" s="533"/>
      <c r="I103" s="534"/>
      <c r="J103" s="532"/>
      <c r="K103" s="533"/>
      <c r="L103" s="533"/>
      <c r="M103" s="534"/>
      <c r="O103" s="74"/>
      <c r="P103" s="453"/>
      <c r="Q103" s="453"/>
      <c r="R103" s="453"/>
      <c r="S103" s="75">
        <f>IF(F99=1,20,"")</f>
        <v>20</v>
      </c>
      <c r="T103" s="74"/>
      <c r="U103" s="453"/>
      <c r="V103" s="453"/>
      <c r="W103" s="453"/>
      <c r="X103" s="75">
        <f>IF(J99=1,20,"")</f>
        <v>20</v>
      </c>
      <c r="Y103" s="452"/>
      <c r="Z103" s="453"/>
      <c r="AA103" s="75"/>
    </row>
    <row r="104" spans="2:24" s="13" customFormat="1" ht="9.75" customHeight="1" thickBot="1">
      <c r="B104" s="470"/>
      <c r="C104" s="470"/>
      <c r="D104" s="470"/>
      <c r="F104" s="474"/>
      <c r="G104" s="466"/>
      <c r="H104" s="29"/>
      <c r="I104" s="29"/>
      <c r="J104" s="475"/>
      <c r="K104" s="476"/>
      <c r="L104" s="476"/>
      <c r="M104" s="477"/>
      <c r="O104" s="30"/>
      <c r="P104" s="29"/>
      <c r="Q104" s="29"/>
      <c r="R104" s="29"/>
      <c r="S104" s="31"/>
      <c r="T104" s="30"/>
      <c r="U104" s="29"/>
      <c r="V104" s="29"/>
      <c r="W104" s="29"/>
      <c r="X104" s="31"/>
    </row>
    <row r="105" spans="1:27" s="13" customFormat="1" ht="31.5" customHeight="1">
      <c r="A105" s="17" t="s">
        <v>613</v>
      </c>
      <c r="B105" s="540" t="s">
        <v>572</v>
      </c>
      <c r="C105" s="541"/>
      <c r="D105" s="542"/>
      <c r="E105" s="27" t="s">
        <v>665</v>
      </c>
      <c r="F105" s="335">
        <v>1</v>
      </c>
      <c r="G105" s="478">
        <v>3</v>
      </c>
      <c r="H105" s="28" t="str">
        <f>IF(F105=1,"ヶ月周期","")</f>
        <v>ヶ月周期</v>
      </c>
      <c r="I105" s="28"/>
      <c r="J105" s="475"/>
      <c r="K105" s="476"/>
      <c r="L105" s="476"/>
      <c r="M105" s="477"/>
      <c r="O105" s="479">
        <f>IF(F105=1,IF(G105="",100,MIN('回答算出'!E151/G105,1)*100),IF(F105=2,0,""))</f>
        <v>100</v>
      </c>
      <c r="P105" s="454">
        <f>IF(F105="","",1)</f>
        <v>1</v>
      </c>
      <c r="Q105" s="480">
        <f>IF(OR(F106=1,G105&gt;'回答算出'!E151),100,O105)</f>
        <v>100</v>
      </c>
      <c r="R105" s="454">
        <f>IF(F105="","",IF(F105=2,1,""))</f>
      </c>
      <c r="S105" s="71">
        <f>IF(F105=1,3,"")</f>
        <v>3</v>
      </c>
      <c r="T105" s="66"/>
      <c r="U105" s="481"/>
      <c r="V105" s="481"/>
      <c r="W105" s="481"/>
      <c r="X105" s="69"/>
      <c r="Y105" s="67">
        <f>IF(AND(P105="",U105=""),"",(IF(P105="",0,O105*Y$17)+IF(U105="",0,T105*Z$17))/(IF(P105=22,0,Y$17)+IF(U105="",0,Z$17)))</f>
        <v>100</v>
      </c>
      <c r="Z105" s="454">
        <f>IF(AND(P105="",U105=""),"",(IF(P105="",0,Q105*Y$17)+IF(U105="",0,V105*Z$17))/(IF(P105=22,0,Y$17)+IF(U105="",0,Z$17)))</f>
        <v>100</v>
      </c>
      <c r="AA105" s="71">
        <f>IF(AND(P105="",U105=""),"",1)</f>
        <v>1</v>
      </c>
    </row>
    <row r="106" spans="1:27" s="13" customFormat="1" ht="30.75" customHeight="1">
      <c r="A106" s="455"/>
      <c r="B106" s="549" t="s">
        <v>206</v>
      </c>
      <c r="C106" s="550"/>
      <c r="D106" s="550"/>
      <c r="E106" s="550"/>
      <c r="F106" s="536"/>
      <c r="G106" s="55"/>
      <c r="H106" s="55"/>
      <c r="I106" s="406"/>
      <c r="J106" s="475"/>
      <c r="K106" s="476"/>
      <c r="L106" s="476"/>
      <c r="M106" s="477"/>
      <c r="O106" s="72"/>
      <c r="P106" s="455"/>
      <c r="Q106" s="455"/>
      <c r="R106" s="455">
        <f>IF(F105="","",IF(F105=2,2,""))</f>
      </c>
      <c r="S106" s="73">
        <f>IF(F105=1,6,"")</f>
        <v>6</v>
      </c>
      <c r="T106" s="30"/>
      <c r="U106" s="29"/>
      <c r="V106" s="29"/>
      <c r="W106" s="29"/>
      <c r="X106" s="31"/>
      <c r="Y106" s="57"/>
      <c r="Z106" s="455"/>
      <c r="AA106" s="73"/>
    </row>
    <row r="107" spans="1:27" s="13" customFormat="1" ht="13.5">
      <c r="A107" s="455"/>
      <c r="B107" s="456"/>
      <c r="C107" s="457" t="s">
        <v>180</v>
      </c>
      <c r="D107" s="370" t="s">
        <v>691</v>
      </c>
      <c r="E107" s="458"/>
      <c r="F107" s="537"/>
      <c r="G107" s="407"/>
      <c r="H107" s="407"/>
      <c r="I107" s="409"/>
      <c r="J107" s="475"/>
      <c r="K107" s="476"/>
      <c r="L107" s="476"/>
      <c r="M107" s="477"/>
      <c r="O107" s="72"/>
      <c r="P107" s="455"/>
      <c r="Q107" s="455"/>
      <c r="R107" s="455"/>
      <c r="S107" s="73">
        <f>IF(F105=1,9,"")</f>
        <v>9</v>
      </c>
      <c r="T107" s="30"/>
      <c r="U107" s="29"/>
      <c r="V107" s="29"/>
      <c r="W107" s="29"/>
      <c r="X107" s="31"/>
      <c r="Y107" s="57"/>
      <c r="Z107" s="455"/>
      <c r="AA107" s="73"/>
    </row>
    <row r="108" spans="1:27" s="13" customFormat="1" ht="14.25" thickBot="1">
      <c r="A108" s="455"/>
      <c r="B108" s="408"/>
      <c r="C108" s="468" t="s">
        <v>661</v>
      </c>
      <c r="D108" s="469" t="s">
        <v>361</v>
      </c>
      <c r="E108" s="459"/>
      <c r="F108" s="532"/>
      <c r="G108" s="533"/>
      <c r="H108" s="533"/>
      <c r="I108" s="534"/>
      <c r="J108" s="482"/>
      <c r="K108" s="483"/>
      <c r="L108" s="483"/>
      <c r="M108" s="484"/>
      <c r="O108" s="74"/>
      <c r="P108" s="453"/>
      <c r="Q108" s="453"/>
      <c r="R108" s="453"/>
      <c r="S108" s="75">
        <f>IF(F105=1,12,"")</f>
        <v>12</v>
      </c>
      <c r="T108" s="485"/>
      <c r="U108" s="486"/>
      <c r="V108" s="486"/>
      <c r="W108" s="486"/>
      <c r="X108" s="487"/>
      <c r="Y108" s="452"/>
      <c r="Z108" s="453"/>
      <c r="AA108" s="75"/>
    </row>
    <row r="109" spans="1:27" s="13" customFormat="1" ht="36" customHeight="1">
      <c r="A109" s="366" t="s">
        <v>565</v>
      </c>
      <c r="B109" s="540" t="s">
        <v>449</v>
      </c>
      <c r="C109" s="541"/>
      <c r="D109" s="542"/>
      <c r="E109" s="27" t="s">
        <v>191</v>
      </c>
      <c r="F109" s="335">
        <v>1</v>
      </c>
      <c r="G109" s="478">
        <v>3</v>
      </c>
      <c r="H109" s="28" t="str">
        <f>IF(F109=1,"ヶ月周期","")</f>
        <v>ヶ月周期</v>
      </c>
      <c r="I109" s="28"/>
      <c r="J109" s="335">
        <v>1</v>
      </c>
      <c r="K109" s="478">
        <v>3</v>
      </c>
      <c r="L109" s="28" t="str">
        <f>IF(J109=1,"ヶ月周期","")</f>
        <v>ヶ月周期</v>
      </c>
      <c r="M109" s="260"/>
      <c r="O109" s="479">
        <f>IF(F109=1,IF(G109="",100,MIN('回答算出'!E151/G109,1)*100),IF(F109=2,0,""))</f>
        <v>100</v>
      </c>
      <c r="P109" s="454">
        <f>IF(F109="","",1)</f>
        <v>1</v>
      </c>
      <c r="Q109" s="480">
        <f>IF(OR(F110=1,G109&gt;'回答算出'!E151),100,O109)</f>
        <v>100</v>
      </c>
      <c r="R109" s="454">
        <f>IF(F109="","",IF(F109=2,1,""))</f>
      </c>
      <c r="S109" s="71">
        <v>3</v>
      </c>
      <c r="T109" s="479">
        <f>IF(J109=1,IF(K109="",100,MIN('回答算出'!E151/K109,1)*100),IF(J109=2,0,""))</f>
        <v>100</v>
      </c>
      <c r="U109" s="454">
        <f>IF(K109="","",1)</f>
        <v>1</v>
      </c>
      <c r="V109" s="480">
        <f>IF(OR(J110=1,K109&gt;'回答算出'!E151),100,T109)</f>
        <v>100</v>
      </c>
      <c r="W109" s="454">
        <f>IF(J109="","",IF(J109=2,1,""))</f>
      </c>
      <c r="X109" s="71">
        <v>3</v>
      </c>
      <c r="Y109" s="67">
        <f>IF(AND(P109="",U109=""),"",(IF(P109="",0,O109*Y$17)+IF(U109="",0,T109*Z$17))/(IF(P109=22,0,Y$17)+IF(U109="",0,Z$17)))</f>
        <v>100</v>
      </c>
      <c r="Z109" s="454">
        <f>IF(AND(P109="",U109=""),"",(IF(P109="",0,Q109*Y$17)+IF(U109="",0,V109*Z$17))/(IF(P109=22,0,Y$17)+IF(U109="",0,Z$17)))</f>
        <v>100</v>
      </c>
      <c r="AA109" s="71">
        <f>IF(AND(P109="",U109=""),"",1)</f>
        <v>1</v>
      </c>
    </row>
    <row r="110" spans="1:27" s="13" customFormat="1" ht="28.5" customHeight="1">
      <c r="A110" s="455"/>
      <c r="B110" s="549" t="s">
        <v>206</v>
      </c>
      <c r="C110" s="550"/>
      <c r="D110" s="550"/>
      <c r="E110" s="550"/>
      <c r="F110" s="536"/>
      <c r="G110" s="55"/>
      <c r="H110" s="55"/>
      <c r="I110" s="406"/>
      <c r="J110" s="536"/>
      <c r="K110" s="55"/>
      <c r="L110" s="55"/>
      <c r="M110" s="406"/>
      <c r="O110" s="72"/>
      <c r="P110" s="455"/>
      <c r="Q110" s="455"/>
      <c r="R110" s="455">
        <f>IF(F109="","",IF(F109=2,2,""))</f>
      </c>
      <c r="S110" s="73">
        <v>6</v>
      </c>
      <c r="T110" s="72"/>
      <c r="U110" s="455"/>
      <c r="V110" s="455"/>
      <c r="W110" s="455">
        <f>IF(J109="","",IF(J109=2,2,""))</f>
      </c>
      <c r="X110" s="73">
        <v>6</v>
      </c>
      <c r="Y110" s="57"/>
      <c r="Z110" s="455"/>
      <c r="AA110" s="73"/>
    </row>
    <row r="111" spans="1:27" s="13" customFormat="1" ht="12.75" customHeight="1">
      <c r="A111" s="455"/>
      <c r="B111" s="456"/>
      <c r="C111" s="472" t="s">
        <v>180</v>
      </c>
      <c r="D111" s="458" t="s">
        <v>58</v>
      </c>
      <c r="E111" s="458"/>
      <c r="F111" s="537"/>
      <c r="G111" s="407"/>
      <c r="H111" s="407"/>
      <c r="I111" s="409"/>
      <c r="J111" s="537"/>
      <c r="K111" s="407"/>
      <c r="L111" s="407"/>
      <c r="M111" s="409"/>
      <c r="O111" s="72"/>
      <c r="P111" s="455"/>
      <c r="Q111" s="455"/>
      <c r="R111" s="455"/>
      <c r="S111" s="73">
        <v>9</v>
      </c>
      <c r="T111" s="72"/>
      <c r="U111" s="455"/>
      <c r="V111" s="455"/>
      <c r="W111" s="455"/>
      <c r="X111" s="73">
        <v>9</v>
      </c>
      <c r="Y111" s="57"/>
      <c r="Z111" s="455"/>
      <c r="AA111" s="73"/>
    </row>
    <row r="112" spans="1:27" s="13" customFormat="1" ht="14.25" thickBot="1">
      <c r="A112" s="461"/>
      <c r="B112" s="408"/>
      <c r="C112" s="473" t="s">
        <v>192</v>
      </c>
      <c r="D112" s="469" t="s">
        <v>361</v>
      </c>
      <c r="E112" s="459"/>
      <c r="F112" s="532"/>
      <c r="G112" s="533"/>
      <c r="H112" s="533"/>
      <c r="I112" s="534"/>
      <c r="J112" s="532"/>
      <c r="K112" s="533"/>
      <c r="L112" s="533"/>
      <c r="M112" s="534"/>
      <c r="O112" s="74"/>
      <c r="P112" s="453"/>
      <c r="Q112" s="453"/>
      <c r="R112" s="453"/>
      <c r="S112" s="75">
        <v>12</v>
      </c>
      <c r="T112" s="74"/>
      <c r="U112" s="453"/>
      <c r="V112" s="453"/>
      <c r="W112" s="453"/>
      <c r="X112" s="75">
        <v>12</v>
      </c>
      <c r="Y112" s="452"/>
      <c r="Z112" s="453"/>
      <c r="AA112" s="75"/>
    </row>
    <row r="113" spans="1:27" s="13" customFormat="1" ht="13.5">
      <c r="A113" s="29"/>
      <c r="B113" s="458"/>
      <c r="C113" s="458"/>
      <c r="D113" s="458"/>
      <c r="E113" s="29"/>
      <c r="F113" s="466"/>
      <c r="G113" s="29"/>
      <c r="H113" s="29"/>
      <c r="I113" s="29"/>
      <c r="J113" s="466"/>
      <c r="K113" s="29"/>
      <c r="L113" s="29"/>
      <c r="M113" s="29"/>
      <c r="O113" s="30"/>
      <c r="P113" s="29"/>
      <c r="Q113" s="29"/>
      <c r="R113" s="29"/>
      <c r="S113" s="31" t="s">
        <v>119</v>
      </c>
      <c r="T113" s="30"/>
      <c r="U113" s="29"/>
      <c r="V113" s="29"/>
      <c r="W113" s="29"/>
      <c r="X113" s="31"/>
      <c r="AA113" s="31"/>
    </row>
    <row r="114" s="13" customFormat="1" ht="14.25" thickBot="1">
      <c r="A114" s="13" t="s">
        <v>679</v>
      </c>
    </row>
    <row r="115" spans="1:26" s="13" customFormat="1" ht="13.5">
      <c r="A115" s="14" t="s">
        <v>564</v>
      </c>
      <c r="B115" s="15"/>
      <c r="C115" s="15"/>
      <c r="D115" s="15"/>
      <c r="E115" s="15"/>
      <c r="F115" s="14" t="s">
        <v>680</v>
      </c>
      <c r="G115" s="15"/>
      <c r="H115" s="15"/>
      <c r="I115" s="16"/>
      <c r="J115" s="14"/>
      <c r="K115" s="15"/>
      <c r="L115" s="15"/>
      <c r="M115" s="16"/>
      <c r="O115" s="66"/>
      <c r="P115" s="67"/>
      <c r="Q115" s="68"/>
      <c r="R115" s="69"/>
      <c r="Y115" s="70"/>
      <c r="Z115" s="71"/>
    </row>
    <row r="116" spans="1:26" s="13" customFormat="1" ht="13.5">
      <c r="A116" s="531"/>
      <c r="B116" s="528"/>
      <c r="C116" s="528"/>
      <c r="D116" s="528"/>
      <c r="E116" s="528"/>
      <c r="F116" s="531"/>
      <c r="G116" s="528"/>
      <c r="H116" s="528"/>
      <c r="I116" s="528"/>
      <c r="J116" s="528"/>
      <c r="K116" s="528"/>
      <c r="L116" s="528"/>
      <c r="M116" s="529"/>
      <c r="O116" s="30"/>
      <c r="P116" s="57"/>
      <c r="Q116" s="56"/>
      <c r="R116" s="31"/>
      <c r="Y116" s="72"/>
      <c r="Z116" s="73"/>
    </row>
    <row r="117" spans="1:26" s="13" customFormat="1" ht="13.5">
      <c r="A117" s="531"/>
      <c r="B117" s="528"/>
      <c r="C117" s="528"/>
      <c r="D117" s="528"/>
      <c r="E117" s="528"/>
      <c r="F117" s="531"/>
      <c r="G117" s="528"/>
      <c r="H117" s="528"/>
      <c r="I117" s="528"/>
      <c r="J117" s="528"/>
      <c r="K117" s="528"/>
      <c r="L117" s="528"/>
      <c r="M117" s="529"/>
      <c r="O117" s="30"/>
      <c r="P117" s="57"/>
      <c r="Q117" s="56"/>
      <c r="R117" s="31"/>
      <c r="Y117" s="72"/>
      <c r="Z117" s="73"/>
    </row>
    <row r="118" spans="1:26" s="13" customFormat="1" ht="13.5">
      <c r="A118" s="531"/>
      <c r="B118" s="528"/>
      <c r="C118" s="528"/>
      <c r="D118" s="528"/>
      <c r="E118" s="528"/>
      <c r="F118" s="531"/>
      <c r="G118" s="528"/>
      <c r="H118" s="528"/>
      <c r="I118" s="528"/>
      <c r="J118" s="528"/>
      <c r="K118" s="528"/>
      <c r="L118" s="528"/>
      <c r="M118" s="529"/>
      <c r="O118" s="30"/>
      <c r="P118" s="57"/>
      <c r="Q118" s="56"/>
      <c r="R118" s="31"/>
      <c r="Y118" s="72"/>
      <c r="Z118" s="73"/>
    </row>
    <row r="119" spans="1:26" s="13" customFormat="1" ht="13.5">
      <c r="A119" s="531"/>
      <c r="B119" s="528"/>
      <c r="C119" s="528"/>
      <c r="D119" s="528"/>
      <c r="E119" s="528"/>
      <c r="F119" s="531"/>
      <c r="G119" s="528"/>
      <c r="H119" s="528"/>
      <c r="I119" s="528"/>
      <c r="J119" s="528"/>
      <c r="K119" s="528"/>
      <c r="L119" s="528"/>
      <c r="M119" s="529"/>
      <c r="O119" s="30"/>
      <c r="P119" s="57"/>
      <c r="Q119" s="56"/>
      <c r="R119" s="31"/>
      <c r="Y119" s="72"/>
      <c r="Z119" s="73"/>
    </row>
    <row r="120" spans="1:26" s="13" customFormat="1" ht="13.5">
      <c r="A120" s="531"/>
      <c r="B120" s="528"/>
      <c r="C120" s="528"/>
      <c r="D120" s="528"/>
      <c r="E120" s="528"/>
      <c r="F120" s="531"/>
      <c r="G120" s="528"/>
      <c r="H120" s="528"/>
      <c r="I120" s="528"/>
      <c r="J120" s="528"/>
      <c r="K120" s="528"/>
      <c r="L120" s="528"/>
      <c r="M120" s="529"/>
      <c r="O120" s="30"/>
      <c r="P120" s="57"/>
      <c r="Q120" s="56"/>
      <c r="R120" s="31"/>
      <c r="Y120" s="72"/>
      <c r="Z120" s="73"/>
    </row>
    <row r="121" spans="1:26" s="13" customFormat="1" ht="15" thickBot="1">
      <c r="A121" s="258" t="s">
        <v>193</v>
      </c>
      <c r="F121" s="258"/>
      <c r="O121" s="488">
        <f>COUNTA(A116:A120)</f>
        <v>0</v>
      </c>
      <c r="P121" s="489" t="s">
        <v>194</v>
      </c>
      <c r="Q121" s="490">
        <f>O121</f>
        <v>0</v>
      </c>
      <c r="R121" s="491" t="s">
        <v>194</v>
      </c>
      <c r="Y121" s="74">
        <f>O121</f>
        <v>0</v>
      </c>
      <c r="Z121" s="75">
        <f>Q121</f>
        <v>0</v>
      </c>
    </row>
    <row r="122" spans="1:26" s="13" customFormat="1" ht="13.5">
      <c r="A122" s="13" t="s">
        <v>681</v>
      </c>
      <c r="O122" s="13" t="s">
        <v>122</v>
      </c>
      <c r="Y122" s="29"/>
      <c r="Z122" s="29"/>
    </row>
    <row r="123" spans="1:26" s="13" customFormat="1" ht="54.75" customHeight="1">
      <c r="A123" s="559"/>
      <c r="B123" s="560"/>
      <c r="C123" s="560"/>
      <c r="D123" s="560"/>
      <c r="E123" s="560"/>
      <c r="F123" s="560"/>
      <c r="G123" s="560"/>
      <c r="H123" s="560"/>
      <c r="I123" s="560"/>
      <c r="J123" s="560"/>
      <c r="K123" s="560"/>
      <c r="L123" s="560"/>
      <c r="M123" s="561"/>
      <c r="Y123" s="29"/>
      <c r="Z123" s="29"/>
    </row>
    <row r="124" spans="12:26" s="13" customFormat="1" ht="17.25">
      <c r="L124" s="259" t="s">
        <v>566</v>
      </c>
      <c r="Y124" s="29"/>
      <c r="Z124" s="29"/>
    </row>
    <row r="125" ht="14.25">
      <c r="A125" s="258" t="s">
        <v>366</v>
      </c>
    </row>
    <row r="126" ht="14.25">
      <c r="A126" s="258"/>
    </row>
    <row r="127" spans="1:13" s="13" customFormat="1" ht="14.25" thickBot="1">
      <c r="A127" s="444" t="s">
        <v>657</v>
      </c>
      <c r="B127" s="538" t="s">
        <v>195</v>
      </c>
      <c r="C127" s="526"/>
      <c r="D127" s="526"/>
      <c r="E127" s="527"/>
      <c r="F127" s="526" t="s">
        <v>658</v>
      </c>
      <c r="G127" s="526"/>
      <c r="H127" s="526"/>
      <c r="I127" s="527"/>
      <c r="J127" s="492"/>
      <c r="K127" s="493"/>
      <c r="L127" s="493"/>
      <c r="M127" s="494"/>
    </row>
    <row r="128" spans="1:27" s="13" customFormat="1" ht="15.75" customHeight="1">
      <c r="A128" s="17" t="s">
        <v>614</v>
      </c>
      <c r="B128" s="540" t="s">
        <v>450</v>
      </c>
      <c r="C128" s="541"/>
      <c r="D128" s="542"/>
      <c r="E128" s="27" t="s">
        <v>665</v>
      </c>
      <c r="F128" s="335">
        <v>1</v>
      </c>
      <c r="G128" s="478">
        <v>3</v>
      </c>
      <c r="H128" s="28" t="str">
        <f>IF(F128=1,"ヶ年周期","")</f>
        <v>ヶ年周期</v>
      </c>
      <c r="I128" s="260"/>
      <c r="J128" s="492"/>
      <c r="K128" s="493"/>
      <c r="L128" s="493"/>
      <c r="M128" s="494"/>
      <c r="O128" s="479">
        <f>IF(F128=1,IF(G128="",100,MIN('回答算出'!G169/G128,1)*100),IF(F128=2,0,""))</f>
        <v>66.66666666666666</v>
      </c>
      <c r="P128" s="454">
        <f>IF(F128="","",1)</f>
        <v>1</v>
      </c>
      <c r="Q128" s="480">
        <f>IF(OR(F129=1,G128&gt;'回答算出'!G169),100,O128)</f>
        <v>100</v>
      </c>
      <c r="R128" s="454">
        <f>IF(F128="","",IF(F128=2,1,""))</f>
      </c>
      <c r="S128" s="71">
        <f>IF(F128=1,1,"")</f>
        <v>1</v>
      </c>
      <c r="T128" s="66"/>
      <c r="U128" s="481"/>
      <c r="V128" s="481"/>
      <c r="W128" s="481"/>
      <c r="X128" s="69"/>
      <c r="Y128" s="67">
        <f>IF(AND(P128="",U128=""),"",(IF(P128="",0,O128*Y$17)+IF(U128="",0,T128*Z$17))/(IF(P128=22,0,Y$17)+IF(U128="",0,Z$17)))</f>
        <v>66.66666666666666</v>
      </c>
      <c r="Z128" s="454">
        <f>IF(AND(P128="",U128=""),"",(IF(P128="",0,Q128*Y$17)+IF(U128="",0,V128*Z$17))/(IF(P128=22,0,Y$17)+IF(U128="",0,Z$17)))</f>
        <v>100</v>
      </c>
      <c r="AA128" s="71">
        <f>IF(AND(P128="",U128=""),"",1)</f>
        <v>1</v>
      </c>
    </row>
    <row r="129" spans="1:27" s="13" customFormat="1" ht="16.5" customHeight="1">
      <c r="A129" s="455"/>
      <c r="B129" s="549" t="s">
        <v>12</v>
      </c>
      <c r="C129" s="550"/>
      <c r="D129" s="550"/>
      <c r="E129" s="550"/>
      <c r="F129" s="536"/>
      <c r="G129" s="55"/>
      <c r="H129" s="55"/>
      <c r="I129" s="406"/>
      <c r="J129" s="475"/>
      <c r="K129" s="476"/>
      <c r="L129" s="476"/>
      <c r="M129" s="477"/>
      <c r="O129" s="72"/>
      <c r="P129" s="455"/>
      <c r="Q129" s="455"/>
      <c r="R129" s="455">
        <f>IF(F128="","",IF(F128=2,2,""))</f>
      </c>
      <c r="S129" s="73">
        <f>IF(F128=1,2,"")</f>
        <v>2</v>
      </c>
      <c r="T129" s="30"/>
      <c r="U129" s="29"/>
      <c r="V129" s="29"/>
      <c r="W129" s="29"/>
      <c r="X129" s="31"/>
      <c r="Y129" s="57"/>
      <c r="Z129" s="455"/>
      <c r="AA129" s="73"/>
    </row>
    <row r="130" spans="1:27" s="13" customFormat="1" ht="13.5">
      <c r="A130" s="455"/>
      <c r="B130" s="456"/>
      <c r="C130" s="457" t="s">
        <v>180</v>
      </c>
      <c r="D130" s="370" t="s">
        <v>15</v>
      </c>
      <c r="E130" s="458"/>
      <c r="F130" s="537"/>
      <c r="G130" s="407"/>
      <c r="H130" s="407"/>
      <c r="I130" s="409"/>
      <c r="J130" s="475"/>
      <c r="K130" s="476"/>
      <c r="L130" s="476"/>
      <c r="M130" s="477"/>
      <c r="O130" s="72"/>
      <c r="P130" s="455"/>
      <c r="Q130" s="455"/>
      <c r="R130" s="455"/>
      <c r="S130" s="73">
        <f>IF(F128=1,3,"")</f>
        <v>3</v>
      </c>
      <c r="T130" s="30"/>
      <c r="U130" s="29"/>
      <c r="V130" s="29"/>
      <c r="W130" s="29"/>
      <c r="X130" s="31"/>
      <c r="Y130" s="57"/>
      <c r="Z130" s="455"/>
      <c r="AA130" s="73"/>
    </row>
    <row r="131" spans="1:27" s="13" customFormat="1" ht="13.5">
      <c r="A131" s="455"/>
      <c r="B131" s="56"/>
      <c r="C131" s="457" t="s">
        <v>661</v>
      </c>
      <c r="D131" s="469" t="s">
        <v>361</v>
      </c>
      <c r="E131" s="466"/>
      <c r="F131" s="532"/>
      <c r="G131" s="533"/>
      <c r="H131" s="533"/>
      <c r="I131" s="534"/>
      <c r="J131" s="475"/>
      <c r="K131" s="476"/>
      <c r="L131" s="476"/>
      <c r="M131" s="477"/>
      <c r="O131" s="460"/>
      <c r="P131" s="461"/>
      <c r="Q131" s="461"/>
      <c r="R131" s="461"/>
      <c r="S131" s="462">
        <f>IF(F128=1,4,"")</f>
        <v>4</v>
      </c>
      <c r="T131" s="30"/>
      <c r="U131" s="29"/>
      <c r="V131" s="29"/>
      <c r="W131" s="29"/>
      <c r="X131" s="31"/>
      <c r="Y131" s="409"/>
      <c r="Z131" s="461"/>
      <c r="AA131" s="462"/>
    </row>
    <row r="132" spans="1:27" s="13" customFormat="1" ht="16.5" customHeight="1">
      <c r="A132" s="455"/>
      <c r="B132" s="540" t="s">
        <v>451</v>
      </c>
      <c r="C132" s="541"/>
      <c r="D132" s="542"/>
      <c r="E132" s="27" t="s">
        <v>665</v>
      </c>
      <c r="F132" s="335">
        <v>1</v>
      </c>
      <c r="G132" s="478">
        <v>6</v>
      </c>
      <c r="H132" s="28" t="str">
        <f>IF(F132=1,"ヶ月周期","")</f>
        <v>ヶ月周期</v>
      </c>
      <c r="I132" s="260"/>
      <c r="J132" s="475"/>
      <c r="K132" s="476"/>
      <c r="L132" s="476"/>
      <c r="M132" s="477"/>
      <c r="O132" s="495">
        <f>IF(F132=1,IF(G132="",100,MIN('回答算出'!G176/G132,1)*100),IF(F132=2,0,""))</f>
        <v>100</v>
      </c>
      <c r="P132" s="464">
        <f>IF(F132="","",1)</f>
        <v>1</v>
      </c>
      <c r="Q132" s="496">
        <f>IF(OR(F133=1,G132&gt;'回答算出'!G176),100,O132)</f>
        <v>100</v>
      </c>
      <c r="R132" s="464">
        <f>IF(F132="","",IF(F132=2,1,""))</f>
      </c>
      <c r="S132" s="465">
        <f>IF(F132=1,3,"")</f>
        <v>3</v>
      </c>
      <c r="T132" s="30"/>
      <c r="U132" s="29"/>
      <c r="V132" s="29"/>
      <c r="W132" s="29"/>
      <c r="X132" s="31"/>
      <c r="Y132" s="406">
        <f>IF(AND(P132="",U132=""),"",(IF(P132="",0,O132*Y$17)+IF(U132="",0,T132*Z$17))/(IF(P132=22,0,Y$17)+IF(U132="",0,Z$17)))</f>
        <v>100</v>
      </c>
      <c r="Z132" s="464">
        <f>IF(AND(P132="",U132=""),"",(IF(P132="",0,Q132*Y$17)+IF(U132="",0,V132*Z$17))/(IF(P132=22,0,Y$17)+IF(U132="",0,Z$17)))</f>
        <v>100</v>
      </c>
      <c r="AA132" s="465">
        <f>IF(AND(P132="",U132=""),"",1)</f>
        <v>1</v>
      </c>
    </row>
    <row r="133" spans="1:27" s="13" customFormat="1" ht="27" customHeight="1">
      <c r="A133" s="455"/>
      <c r="B133" s="549" t="s">
        <v>676</v>
      </c>
      <c r="C133" s="550"/>
      <c r="D133" s="550"/>
      <c r="E133" s="550"/>
      <c r="F133" s="536"/>
      <c r="G133" s="55"/>
      <c r="H133" s="55"/>
      <c r="I133" s="406"/>
      <c r="J133" s="475"/>
      <c r="K133" s="476"/>
      <c r="L133" s="476"/>
      <c r="M133" s="477"/>
      <c r="O133" s="72"/>
      <c r="P133" s="455"/>
      <c r="Q133" s="455"/>
      <c r="R133" s="455">
        <f>IF(F132="","",IF(F132=2,2,""))</f>
      </c>
      <c r="S133" s="73">
        <f>IF(F132=1,6,"")</f>
        <v>6</v>
      </c>
      <c r="T133" s="30"/>
      <c r="U133" s="29"/>
      <c r="V133" s="29"/>
      <c r="W133" s="29"/>
      <c r="X133" s="31"/>
      <c r="Y133" s="57"/>
      <c r="Z133" s="455"/>
      <c r="AA133" s="73"/>
    </row>
    <row r="134" spans="1:27" s="13" customFormat="1" ht="13.5">
      <c r="A134" s="455"/>
      <c r="B134" s="456"/>
      <c r="C134" s="457" t="s">
        <v>180</v>
      </c>
      <c r="D134" s="370" t="s">
        <v>16</v>
      </c>
      <c r="E134" s="458"/>
      <c r="F134" s="537"/>
      <c r="G134" s="407"/>
      <c r="H134" s="407"/>
      <c r="I134" s="409"/>
      <c r="J134" s="475"/>
      <c r="K134" s="476"/>
      <c r="L134" s="476"/>
      <c r="M134" s="477"/>
      <c r="O134" s="72"/>
      <c r="P134" s="455"/>
      <c r="Q134" s="455"/>
      <c r="R134" s="455"/>
      <c r="S134" s="73">
        <f>IF(F132=1,9,"")</f>
        <v>9</v>
      </c>
      <c r="T134" s="30"/>
      <c r="U134" s="29"/>
      <c r="V134" s="29"/>
      <c r="W134" s="29"/>
      <c r="X134" s="31"/>
      <c r="Y134" s="57"/>
      <c r="Z134" s="455"/>
      <c r="AA134" s="73"/>
    </row>
    <row r="135" spans="1:27" s="13" customFormat="1" ht="13.5">
      <c r="A135" s="455"/>
      <c r="B135" s="56"/>
      <c r="C135" s="457" t="s">
        <v>661</v>
      </c>
      <c r="D135" s="469" t="s">
        <v>361</v>
      </c>
      <c r="E135" s="466"/>
      <c r="F135" s="532"/>
      <c r="G135" s="533"/>
      <c r="H135" s="533"/>
      <c r="I135" s="534"/>
      <c r="J135" s="475"/>
      <c r="K135" s="476"/>
      <c r="L135" s="476"/>
      <c r="M135" s="477"/>
      <c r="O135" s="460"/>
      <c r="P135" s="461"/>
      <c r="Q135" s="461"/>
      <c r="R135" s="461"/>
      <c r="S135" s="462">
        <f>IF(F132=1,12,"")</f>
        <v>12</v>
      </c>
      <c r="T135" s="30"/>
      <c r="U135" s="29"/>
      <c r="V135" s="29"/>
      <c r="W135" s="29"/>
      <c r="X135" s="31"/>
      <c r="Y135" s="409"/>
      <c r="Z135" s="461"/>
      <c r="AA135" s="462"/>
    </row>
    <row r="136" spans="1:27" s="13" customFormat="1" ht="30" customHeight="1">
      <c r="A136" s="455"/>
      <c r="B136" s="540" t="s">
        <v>452</v>
      </c>
      <c r="C136" s="541"/>
      <c r="D136" s="542"/>
      <c r="E136" s="27" t="s">
        <v>716</v>
      </c>
      <c r="F136" s="335">
        <v>1</v>
      </c>
      <c r="G136" s="478">
        <v>6</v>
      </c>
      <c r="H136" s="28" t="str">
        <f>IF(F136=1,"ヶ月周期","")</f>
        <v>ヶ月周期</v>
      </c>
      <c r="I136" s="260"/>
      <c r="J136" s="475"/>
      <c r="K136" s="476"/>
      <c r="L136" s="476"/>
      <c r="M136" s="477"/>
      <c r="O136" s="495">
        <f>IF(F136=1,IF(G136="",100,MIN('回答算出'!H186/G136,1)*100),IF(F136=2,0,""))</f>
        <v>50</v>
      </c>
      <c r="P136" s="464">
        <f>IF(F136="","",1)</f>
        <v>1</v>
      </c>
      <c r="Q136" s="496">
        <f>IF(OR(F137=1,G136&gt;'回答算出'!H186),100,O136)</f>
        <v>100</v>
      </c>
      <c r="R136" s="464">
        <f>IF(F136="","",IF(F136=2,1,""))</f>
      </c>
      <c r="S136" s="465">
        <f>IF(F136=1,3,"")</f>
        <v>3</v>
      </c>
      <c r="T136" s="30"/>
      <c r="U136" s="29"/>
      <c r="V136" s="29"/>
      <c r="W136" s="29"/>
      <c r="X136" s="31"/>
      <c r="Y136" s="406">
        <f>IF(AND(P136="",U136=""),"",(IF(P136="",0,O136*Y$17)+IF(U136="",0,T136*Z$17))/(IF(P136=22,0,Y$17)+IF(U136="",0,Z$17)))</f>
        <v>50</v>
      </c>
      <c r="Z136" s="464">
        <f>IF(AND(P136="",U136=""),"",(IF(P136="",0,Q136*Y$17)+IF(U136="",0,V136*Z$17))/(IF(P136=22,0,Y$17)+IF(U136="",0,Z$17)))</f>
        <v>100</v>
      </c>
      <c r="AA136" s="465">
        <f>IF(AND(P136="",U136=""),"",1)</f>
        <v>1</v>
      </c>
    </row>
    <row r="137" spans="1:27" s="13" customFormat="1" ht="31.5" customHeight="1">
      <c r="A137" s="455"/>
      <c r="B137" s="549" t="s">
        <v>677</v>
      </c>
      <c r="C137" s="550"/>
      <c r="D137" s="550"/>
      <c r="E137" s="550"/>
      <c r="F137" s="536"/>
      <c r="G137" s="55"/>
      <c r="H137" s="55"/>
      <c r="I137" s="406"/>
      <c r="J137" s="475"/>
      <c r="K137" s="476"/>
      <c r="L137" s="476"/>
      <c r="M137" s="477"/>
      <c r="O137" s="72"/>
      <c r="P137" s="455"/>
      <c r="Q137" s="455"/>
      <c r="R137" s="455">
        <f>IF(F136="","",IF(F136=2,2,""))</f>
      </c>
      <c r="S137" s="73">
        <f>IF(F136=1,6,"")</f>
        <v>6</v>
      </c>
      <c r="T137" s="30"/>
      <c r="U137" s="29"/>
      <c r="V137" s="29"/>
      <c r="W137" s="29"/>
      <c r="X137" s="31"/>
      <c r="Y137" s="57"/>
      <c r="Z137" s="455"/>
      <c r="AA137" s="73"/>
    </row>
    <row r="138" spans="1:27" s="13" customFormat="1" ht="13.5">
      <c r="A138" s="455"/>
      <c r="B138" s="456"/>
      <c r="C138" s="457" t="s">
        <v>180</v>
      </c>
      <c r="D138" s="370" t="s">
        <v>17</v>
      </c>
      <c r="E138" s="458"/>
      <c r="F138" s="537"/>
      <c r="G138" s="407"/>
      <c r="H138" s="407"/>
      <c r="I138" s="409"/>
      <c r="J138" s="475"/>
      <c r="K138" s="476"/>
      <c r="L138" s="476"/>
      <c r="M138" s="477"/>
      <c r="O138" s="72"/>
      <c r="P138" s="455"/>
      <c r="Q138" s="455"/>
      <c r="R138" s="455"/>
      <c r="S138" s="73">
        <f>IF(F136=1,9,"")</f>
        <v>9</v>
      </c>
      <c r="T138" s="30"/>
      <c r="U138" s="29"/>
      <c r="V138" s="29"/>
      <c r="W138" s="29"/>
      <c r="X138" s="31"/>
      <c r="Y138" s="57"/>
      <c r="Z138" s="455"/>
      <c r="AA138" s="73"/>
    </row>
    <row r="139" spans="1:27" s="13" customFormat="1" ht="13.5">
      <c r="A139" s="455"/>
      <c r="B139" s="408"/>
      <c r="C139" s="468" t="s">
        <v>661</v>
      </c>
      <c r="D139" s="469" t="s">
        <v>361</v>
      </c>
      <c r="E139" s="459"/>
      <c r="F139" s="532"/>
      <c r="G139" s="533"/>
      <c r="H139" s="533"/>
      <c r="I139" s="534"/>
      <c r="J139" s="475"/>
      <c r="K139" s="476"/>
      <c r="L139" s="476"/>
      <c r="M139" s="477"/>
      <c r="O139" s="460"/>
      <c r="P139" s="461"/>
      <c r="Q139" s="461"/>
      <c r="R139" s="461"/>
      <c r="S139" s="462">
        <f>IF(F136=1,12,"")</f>
        <v>12</v>
      </c>
      <c r="T139" s="30"/>
      <c r="U139" s="29"/>
      <c r="V139" s="29"/>
      <c r="W139" s="29"/>
      <c r="X139" s="31"/>
      <c r="Y139" s="460"/>
      <c r="Z139" s="461"/>
      <c r="AA139" s="462"/>
    </row>
    <row r="140" spans="1:27" s="13" customFormat="1" ht="33" customHeight="1">
      <c r="A140" s="455"/>
      <c r="B140" s="540" t="s">
        <v>454</v>
      </c>
      <c r="C140" s="541"/>
      <c r="D140" s="542"/>
      <c r="E140" s="27" t="s">
        <v>196</v>
      </c>
      <c r="F140" s="335">
        <v>1</v>
      </c>
      <c r="G140" s="478">
        <v>12</v>
      </c>
      <c r="H140" s="28" t="str">
        <f>IF(F140=1,"ヶ月周期","")</f>
        <v>ヶ月周期</v>
      </c>
      <c r="I140" s="260"/>
      <c r="J140" s="475"/>
      <c r="K140" s="476"/>
      <c r="L140" s="476"/>
      <c r="M140" s="477"/>
      <c r="O140" s="495">
        <f>IF(F140=1,IF(G140="",100,MIN('回答算出'!G193/G140,1)*100),IF(F140=2,0,""))</f>
        <v>25</v>
      </c>
      <c r="P140" s="464">
        <f>IF(F140="","",1)</f>
        <v>1</v>
      </c>
      <c r="Q140" s="496">
        <f>IF(OR(F141=1,G140&gt;'回答算出'!G193),100,O140)</f>
        <v>100</v>
      </c>
      <c r="R140" s="464">
        <f>IF(F140="","",IF(F140=2,1,""))</f>
      </c>
      <c r="S140" s="465">
        <f>IF(F140=1,3,"")</f>
        <v>3</v>
      </c>
      <c r="T140" s="30"/>
      <c r="U140" s="29"/>
      <c r="V140" s="29"/>
      <c r="W140" s="29"/>
      <c r="X140" s="31"/>
      <c r="Y140" s="463">
        <f>IF(AND(P140="",U140=""),"",(IF(P140="",0,O140*Y$17)+IF(U140="",0,T140*Z$17))/(IF(P140=22,0,Y$17)+IF(U140="",0,Z$17)))</f>
        <v>25</v>
      </c>
      <c r="Z140" s="464">
        <f>IF(AND(P140="",U140=""),"",(IF(P140="",0,Q140*Y$17)+IF(U140="",0,V140*Z$17))/(IF(P140=22,0,Y$17)+IF(U140="",0,Z$17)))</f>
        <v>100</v>
      </c>
      <c r="AA140" s="465">
        <f>IF(AND(P140="",U140=""),"",1)</f>
        <v>1</v>
      </c>
    </row>
    <row r="141" spans="1:27" s="13" customFormat="1" ht="13.5">
      <c r="A141" s="455"/>
      <c r="B141" s="549" t="s">
        <v>455</v>
      </c>
      <c r="C141" s="550"/>
      <c r="D141" s="550"/>
      <c r="E141" s="550"/>
      <c r="F141" s="536"/>
      <c r="G141" s="55"/>
      <c r="H141" s="55"/>
      <c r="I141" s="406"/>
      <c r="J141" s="475"/>
      <c r="K141" s="476"/>
      <c r="L141" s="476"/>
      <c r="M141" s="477"/>
      <c r="O141" s="72"/>
      <c r="P141" s="455"/>
      <c r="Q141" s="455"/>
      <c r="R141" s="455">
        <f>IF(F140="","",IF(F140=2,2,""))</f>
      </c>
      <c r="S141" s="73">
        <f>IF(F140=1,6,"")</f>
        <v>6</v>
      </c>
      <c r="T141" s="30"/>
      <c r="U141" s="29"/>
      <c r="V141" s="29"/>
      <c r="W141" s="29"/>
      <c r="X141" s="31"/>
      <c r="Y141" s="57"/>
      <c r="Z141" s="455"/>
      <c r="AA141" s="73"/>
    </row>
    <row r="142" spans="1:27" s="13" customFormat="1" ht="13.5">
      <c r="A142" s="455"/>
      <c r="B142" s="456"/>
      <c r="C142" s="457" t="s">
        <v>180</v>
      </c>
      <c r="D142" s="370" t="s">
        <v>573</v>
      </c>
      <c r="E142" s="458"/>
      <c r="F142" s="537"/>
      <c r="G142" s="407"/>
      <c r="H142" s="407"/>
      <c r="I142" s="409"/>
      <c r="J142" s="475"/>
      <c r="K142" s="476"/>
      <c r="L142" s="476"/>
      <c r="M142" s="477"/>
      <c r="O142" s="72"/>
      <c r="P142" s="455"/>
      <c r="Q142" s="455"/>
      <c r="R142" s="455"/>
      <c r="S142" s="73">
        <f>IF(F140=1,9,"")</f>
        <v>9</v>
      </c>
      <c r="T142" s="30"/>
      <c r="U142" s="29"/>
      <c r="V142" s="29"/>
      <c r="W142" s="29"/>
      <c r="X142" s="31"/>
      <c r="Y142" s="57"/>
      <c r="Z142" s="455"/>
      <c r="AA142" s="73"/>
    </row>
    <row r="143" spans="1:27" s="13" customFormat="1" ht="13.5">
      <c r="A143" s="455"/>
      <c r="B143" s="408"/>
      <c r="C143" s="468" t="s">
        <v>661</v>
      </c>
      <c r="D143" s="469" t="s">
        <v>361</v>
      </c>
      <c r="E143" s="459"/>
      <c r="F143" s="532"/>
      <c r="G143" s="533"/>
      <c r="H143" s="533"/>
      <c r="I143" s="534"/>
      <c r="J143" s="475"/>
      <c r="K143" s="476"/>
      <c r="L143" s="476"/>
      <c r="M143" s="477"/>
      <c r="O143" s="72"/>
      <c r="P143" s="455"/>
      <c r="Q143" s="455"/>
      <c r="R143" s="455"/>
      <c r="S143" s="73">
        <f>IF(F140=1,12,"")</f>
        <v>12</v>
      </c>
      <c r="T143" s="30"/>
      <c r="U143" s="29"/>
      <c r="V143" s="29"/>
      <c r="W143" s="29"/>
      <c r="X143" s="31"/>
      <c r="Y143" s="57"/>
      <c r="Z143" s="455"/>
      <c r="AA143" s="73"/>
    </row>
    <row r="144" spans="1:27" s="13" customFormat="1" ht="33.75" customHeight="1" thickBot="1">
      <c r="A144" s="461"/>
      <c r="B144" s="540" t="s">
        <v>453</v>
      </c>
      <c r="C144" s="541"/>
      <c r="D144" s="542"/>
      <c r="E144" s="27" t="s">
        <v>462</v>
      </c>
      <c r="F144" s="335">
        <v>1</v>
      </c>
      <c r="G144" s="27"/>
      <c r="H144" s="28"/>
      <c r="I144" s="260"/>
      <c r="J144" s="482"/>
      <c r="K144" s="483"/>
      <c r="L144" s="483"/>
      <c r="M144" s="484"/>
      <c r="O144" s="497">
        <f>IF(F144=1,100,IF(F144=2,0,""))</f>
        <v>100</v>
      </c>
      <c r="P144" s="498">
        <f>IF(F144="","",1)</f>
        <v>1</v>
      </c>
      <c r="Q144" s="499">
        <f>O144</f>
        <v>100</v>
      </c>
      <c r="R144" s="498"/>
      <c r="S144" s="441"/>
      <c r="T144" s="485"/>
      <c r="U144" s="486"/>
      <c r="V144" s="486"/>
      <c r="W144" s="486"/>
      <c r="X144" s="487"/>
      <c r="Y144" s="440">
        <f>IF(AND(P144="",U144=""),"",(IF(P144="",0,O144*Y$17)+IF(U144="",0,T144*Z$17))/(IF(P144=22,0,Y$17)+IF(U144="",0,Z$17)))</f>
        <v>100</v>
      </c>
      <c r="Z144" s="498">
        <f>IF(AND(P144="",U144=""),"",(IF(P144="",0,Q144*Y$17)+IF(U144="",0,V144*Z$17))/(IF(P144=22,0,Y$17)+IF(U144="",0,Z$17)))</f>
        <v>100</v>
      </c>
      <c r="AA144" s="441">
        <f>IF(AND(P144="",U144=""),"",1)</f>
        <v>1</v>
      </c>
    </row>
    <row r="145" spans="1:26" s="13" customFormat="1" ht="13.5">
      <c r="A145" s="29"/>
      <c r="B145" s="29"/>
      <c r="C145" s="457"/>
      <c r="D145" s="370"/>
      <c r="E145" s="466"/>
      <c r="F145" s="500"/>
      <c r="G145" s="500"/>
      <c r="H145" s="500"/>
      <c r="I145" s="500"/>
      <c r="J145" s="501"/>
      <c r="K145" s="501"/>
      <c r="L145" s="501"/>
      <c r="M145" s="501"/>
      <c r="N145" s="28" t="s">
        <v>120</v>
      </c>
      <c r="O145" s="502">
        <f>SUM(O21:O144)-O121</f>
        <v>1761.6666666666667</v>
      </c>
      <c r="P145" s="503"/>
      <c r="Q145" s="502">
        <f>SUM(Q21:Q144)-Q121</f>
        <v>2300</v>
      </c>
      <c r="R145" s="412"/>
      <c r="T145" s="502">
        <f>SUM(T21:T144)</f>
        <v>1360</v>
      </c>
      <c r="U145" s="503"/>
      <c r="V145" s="502">
        <f>SUM(V21:V144)</f>
        <v>1520</v>
      </c>
      <c r="W145" s="412"/>
      <c r="Y145" s="504">
        <f>SUM(Y21:Y144)-Y121</f>
        <v>1771.6666666666667</v>
      </c>
      <c r="Z145" s="505">
        <f>SUM(Z21:Z144)-Z121</f>
        <v>2255</v>
      </c>
    </row>
    <row r="146" spans="1:27" s="13" customFormat="1" ht="14.25" thickBot="1">
      <c r="A146" s="29"/>
      <c r="B146" s="29"/>
      <c r="C146" s="457"/>
      <c r="D146" s="370"/>
      <c r="E146" s="466"/>
      <c r="F146" s="500"/>
      <c r="G146" s="500"/>
      <c r="H146" s="500"/>
      <c r="I146" s="500"/>
      <c r="J146" s="501"/>
      <c r="K146" s="501"/>
      <c r="L146" s="501"/>
      <c r="M146" s="501"/>
      <c r="N146" s="28" t="s">
        <v>678</v>
      </c>
      <c r="O146" s="506">
        <f>O145/SUM($P21:$P144)</f>
        <v>76.59420289855073</v>
      </c>
      <c r="P146" s="65" t="s">
        <v>197</v>
      </c>
      <c r="Q146" s="506">
        <f>Q145/SUM($P21:$P144)</f>
        <v>100</v>
      </c>
      <c r="R146" s="32" t="s">
        <v>197</v>
      </c>
      <c r="T146" s="506">
        <f>T145/SUM($U21:$U144)</f>
        <v>80</v>
      </c>
      <c r="U146" s="65" t="s">
        <v>197</v>
      </c>
      <c r="V146" s="506">
        <f>V145/SUM($U21:$U144)</f>
        <v>89.41176470588235</v>
      </c>
      <c r="W146" s="32" t="s">
        <v>197</v>
      </c>
      <c r="Y146" s="497">
        <f>Y145/SUM($AA21:$AA144)</f>
        <v>77.02898550724638</v>
      </c>
      <c r="Z146" s="507">
        <f>Z145/SUM($AA21:$AA144)</f>
        <v>98.04347826086956</v>
      </c>
      <c r="AA146" s="13" t="s">
        <v>121</v>
      </c>
    </row>
    <row r="147" spans="1:13" s="13" customFormat="1" ht="13.5">
      <c r="A147" s="444" t="s">
        <v>657</v>
      </c>
      <c r="B147" s="538" t="s">
        <v>195</v>
      </c>
      <c r="C147" s="526"/>
      <c r="D147" s="526"/>
      <c r="E147" s="527"/>
      <c r="F147" s="526" t="s">
        <v>658</v>
      </c>
      <c r="G147" s="526"/>
      <c r="H147" s="526"/>
      <c r="I147" s="527"/>
      <c r="J147" s="492"/>
      <c r="K147" s="493"/>
      <c r="L147" s="493"/>
      <c r="M147" s="494"/>
    </row>
    <row r="148" spans="1:13" s="13" customFormat="1" ht="34.5" customHeight="1">
      <c r="A148" s="265" t="s">
        <v>365</v>
      </c>
      <c r="B148" s="562" t="s">
        <v>198</v>
      </c>
      <c r="C148" s="563"/>
      <c r="D148" s="564"/>
      <c r="E148" s="297" t="s">
        <v>199</v>
      </c>
      <c r="F148" s="508">
        <v>1</v>
      </c>
      <c r="G148" s="27"/>
      <c r="H148" s="28"/>
      <c r="I148" s="260"/>
      <c r="J148" s="475"/>
      <c r="K148" s="476"/>
      <c r="L148" s="476"/>
      <c r="M148" s="477"/>
    </row>
    <row r="149" spans="1:16" s="13" customFormat="1" ht="34.5" customHeight="1">
      <c r="A149" s="261"/>
      <c r="B149" s="562" t="s">
        <v>456</v>
      </c>
      <c r="C149" s="563"/>
      <c r="D149" s="564"/>
      <c r="E149" s="297" t="s">
        <v>199</v>
      </c>
      <c r="F149" s="508">
        <v>1</v>
      </c>
      <c r="G149" s="27"/>
      <c r="H149" s="28"/>
      <c r="I149" s="260"/>
      <c r="J149" s="475"/>
      <c r="K149" s="476"/>
      <c r="L149" s="476"/>
      <c r="M149" s="477"/>
      <c r="P149" s="58" t="s">
        <v>460</v>
      </c>
    </row>
    <row r="150" spans="1:16" s="13" customFormat="1" ht="21" customHeight="1">
      <c r="A150" s="56"/>
      <c r="B150" s="509" t="str">
        <f>IF(F149=1,"Q２５で「はい」とご回答された方は以下をご回答下さい。","")</f>
        <v>Q２５で「はい」とご回答された方は以下をご回答下さい。</v>
      </c>
      <c r="C150" s="510"/>
      <c r="D150" s="510"/>
      <c r="E150" s="510"/>
      <c r="F150" s="510"/>
      <c r="G150" s="510"/>
      <c r="H150" s="510"/>
      <c r="I150" s="511"/>
      <c r="J150" s="475"/>
      <c r="K150" s="476"/>
      <c r="L150" s="476"/>
      <c r="M150" s="477"/>
      <c r="P150" s="455">
        <f>IF($F$149=1,1,"")</f>
        <v>1</v>
      </c>
    </row>
    <row r="151" spans="1:16" s="13" customFormat="1" ht="34.5" customHeight="1">
      <c r="A151" s="56"/>
      <c r="B151" s="556" t="str">
        <f>IF(F149=1,"Ｑ２５－１．「夏期」には冷凍機の冷水出口温度の設定は７～10℃の範囲になっていますか？","")</f>
        <v>Ｑ２５－１．「夏期」には冷凍機の冷水出口温度の設定は７～10℃の範囲になっていますか？</v>
      </c>
      <c r="C151" s="557"/>
      <c r="D151" s="558"/>
      <c r="E151" s="512" t="str">
        <f>IF(F149=1,"1.はい　2.いいえ　3.分からない","")</f>
        <v>1.はい　2.いいえ　3.分からない</v>
      </c>
      <c r="F151" s="513">
        <v>1</v>
      </c>
      <c r="G151" s="513">
        <v>7</v>
      </c>
      <c r="H151" s="514" t="str">
        <f>IF($F$149=1,"℃設定","")</f>
        <v>℃設定</v>
      </c>
      <c r="I151" s="515"/>
      <c r="J151" s="475"/>
      <c r="K151" s="476"/>
      <c r="L151" s="476"/>
      <c r="M151" s="477"/>
      <c r="P151" s="455">
        <f>IF($F$149=1,2,"")</f>
        <v>2</v>
      </c>
    </row>
    <row r="152" spans="1:16" s="13" customFormat="1" ht="34.5" customHeight="1">
      <c r="A152" s="56"/>
      <c r="B152" s="556" t="str">
        <f>IF(F149=1,"Ｑ２５－２．「冬期」には冷凍機の温水出口温度の設定は40～50℃の範囲になっていますか？","")</f>
        <v>Ｑ２５－２．「冬期」には冷凍機の温水出口温度の設定は40～50℃の範囲になっていますか？</v>
      </c>
      <c r="C152" s="557"/>
      <c r="D152" s="558"/>
      <c r="E152" s="512" t="str">
        <f>IF(F149=1,"1.はい　2.いいえ　3.分からない","")</f>
        <v>1.はい　2.いいえ　3.分からない</v>
      </c>
      <c r="F152" s="513">
        <v>2</v>
      </c>
      <c r="G152" s="513">
        <v>45</v>
      </c>
      <c r="H152" s="514" t="str">
        <f>IF($F$149=1,"℃設定","")</f>
        <v>℃設定</v>
      </c>
      <c r="I152" s="515"/>
      <c r="J152" s="475"/>
      <c r="K152" s="476"/>
      <c r="L152" s="476"/>
      <c r="M152" s="477"/>
      <c r="P152" s="461">
        <f>IF($F$149=1,3,"")</f>
        <v>3</v>
      </c>
    </row>
    <row r="153" spans="1:13" s="13" customFormat="1" ht="34.5" customHeight="1">
      <c r="A153" s="56"/>
      <c r="B153" s="556" t="str">
        <f>IF(F149=1,"Ｑ２５－３．冷凍機や冷却塔まわりに設置されている温度計の表示を記録していますか？","")</f>
        <v>Ｑ２５－３．冷凍機や冷却塔まわりに設置されている温度計の表示を記録していますか？</v>
      </c>
      <c r="C153" s="557"/>
      <c r="D153" s="558"/>
      <c r="E153" s="512" t="str">
        <f>IF(F149=1,"1.はい　2.いいえ　3.分からない","")</f>
        <v>1.はい　2.いいえ　3.分からない</v>
      </c>
      <c r="F153" s="513">
        <v>1</v>
      </c>
      <c r="G153" s="514"/>
      <c r="H153" s="514"/>
      <c r="I153" s="515"/>
      <c r="J153" s="475"/>
      <c r="K153" s="476"/>
      <c r="L153" s="476"/>
      <c r="M153" s="477"/>
    </row>
    <row r="154" spans="1:13" s="13" customFormat="1" ht="34.5" customHeight="1">
      <c r="A154" s="56"/>
      <c r="B154" s="565" t="str">
        <f>IF(F149=1,"Ｑ２５－４．運転時間を短縮するために、季節毎に起動、停止時刻のスケジュールを調節していますか？","")</f>
        <v>Ｑ２５－４．運転時間を短縮するために、季節毎に起動、停止時刻のスケジュールを調節していますか？</v>
      </c>
      <c r="C154" s="566"/>
      <c r="D154" s="567"/>
      <c r="E154" s="516" t="str">
        <f>IF(F149=1,"1.はい　2.いいえ　3.分からない","")</f>
        <v>1.はい　2.いいえ　3.分からない</v>
      </c>
      <c r="F154" s="513">
        <v>1</v>
      </c>
      <c r="G154" s="517"/>
      <c r="H154" s="517"/>
      <c r="I154" s="518"/>
      <c r="J154" s="475"/>
      <c r="K154" s="476"/>
      <c r="L154" s="476"/>
      <c r="M154" s="477"/>
    </row>
    <row r="155" spans="1:16" s="13" customFormat="1" ht="34.5" customHeight="1">
      <c r="A155" s="261"/>
      <c r="B155" s="562" t="s">
        <v>457</v>
      </c>
      <c r="C155" s="563"/>
      <c r="D155" s="564"/>
      <c r="E155" s="297" t="s">
        <v>199</v>
      </c>
      <c r="F155" s="508">
        <v>1</v>
      </c>
      <c r="G155" s="28"/>
      <c r="H155" s="28"/>
      <c r="I155" s="260"/>
      <c r="J155" s="475"/>
      <c r="K155" s="476"/>
      <c r="L155" s="476"/>
      <c r="M155" s="477"/>
      <c r="P155" s="58" t="s">
        <v>461</v>
      </c>
    </row>
    <row r="156" spans="1:16" s="13" customFormat="1" ht="19.5" customHeight="1">
      <c r="A156" s="56"/>
      <c r="B156" s="509" t="str">
        <f>IF(F155=1,"Q２６で「はい」とご回答された方は以下をご回答下さい。","")</f>
        <v>Q２６で「はい」とご回答された方は以下をご回答下さい。</v>
      </c>
      <c r="C156" s="510"/>
      <c r="D156" s="510"/>
      <c r="E156" s="510"/>
      <c r="F156" s="510"/>
      <c r="G156" s="510"/>
      <c r="H156" s="510"/>
      <c r="I156" s="511"/>
      <c r="J156" s="476"/>
      <c r="K156" s="476"/>
      <c r="L156" s="476"/>
      <c r="M156" s="477"/>
      <c r="P156" s="455">
        <f>IF($F$155=1,1,"")</f>
        <v>1</v>
      </c>
    </row>
    <row r="157" spans="1:16" s="13" customFormat="1" ht="34.5" customHeight="1">
      <c r="A157" s="56"/>
      <c r="B157" s="556" t="str">
        <f>IF(F155=1,"Ｑ２６－１．パッケージ空調機の運転や温度設定は入居者が自由に行っていますか？","")</f>
        <v>Ｑ２６－１．パッケージ空調機の運転や温度設定は入居者が自由に行っていますか？</v>
      </c>
      <c r="C157" s="557"/>
      <c r="D157" s="558"/>
      <c r="E157" s="512" t="str">
        <f>IF(F155=1,"1.はい　2.いいえ　3.分からない","")</f>
        <v>1.はい　2.いいえ　3.分からない</v>
      </c>
      <c r="F157" s="513">
        <v>1</v>
      </c>
      <c r="G157" s="514"/>
      <c r="H157" s="514"/>
      <c r="I157" s="515"/>
      <c r="J157" s="476"/>
      <c r="K157" s="476"/>
      <c r="L157" s="476"/>
      <c r="M157" s="477"/>
      <c r="P157" s="455">
        <f>IF($F$155=1,2,"")</f>
        <v>2</v>
      </c>
    </row>
    <row r="158" spans="1:16" s="13" customFormat="1" ht="34.5" customHeight="1">
      <c r="A158" s="56"/>
      <c r="B158" s="553" t="str">
        <f>IF(F155=1,"Ｑ２６－２．パッケージ空調機と中央熱源（全館冷暖房機器）の運転は同じ時間帯に運転していますか？","")</f>
        <v>Ｑ２６－２．パッケージ空調機と中央熱源（全館冷暖房機器）の運転は同じ時間帯に運転していますか？</v>
      </c>
      <c r="C158" s="554"/>
      <c r="D158" s="555"/>
      <c r="E158" s="461" t="str">
        <f>IF(F155=1,"1.はい　2.いいえ　3.分からない","")</f>
        <v>1.はい　2.いいえ　3.分からない</v>
      </c>
      <c r="F158" s="513">
        <v>1</v>
      </c>
      <c r="G158" s="407"/>
      <c r="H158" s="407"/>
      <c r="I158" s="409"/>
      <c r="J158" s="475"/>
      <c r="K158" s="476"/>
      <c r="L158" s="476"/>
      <c r="M158" s="477"/>
      <c r="P158" s="455">
        <f>IF($F$155=1,3,"")</f>
        <v>3</v>
      </c>
    </row>
    <row r="159" spans="1:16" s="13" customFormat="1" ht="34.5" customHeight="1">
      <c r="A159" s="262"/>
      <c r="B159" s="562" t="s">
        <v>458</v>
      </c>
      <c r="C159" s="563"/>
      <c r="D159" s="564"/>
      <c r="E159" s="297" t="s">
        <v>199</v>
      </c>
      <c r="F159" s="508">
        <v>1</v>
      </c>
      <c r="G159" s="27"/>
      <c r="H159" s="28"/>
      <c r="I159" s="260"/>
      <c r="J159" s="475"/>
      <c r="K159" s="476"/>
      <c r="L159" s="476"/>
      <c r="M159" s="477"/>
      <c r="P159" s="58" t="s">
        <v>534</v>
      </c>
    </row>
    <row r="160" spans="1:16" s="13" customFormat="1" ht="17.25" customHeight="1">
      <c r="A160" s="56"/>
      <c r="B160" s="509" t="str">
        <f>IF(F159=1,"Q２７で「はい」とご回答された方は以下をご回答下さい。","")</f>
        <v>Q２７で「はい」とご回答された方は以下をご回答下さい。</v>
      </c>
      <c r="C160" s="510"/>
      <c r="D160" s="510"/>
      <c r="E160" s="510"/>
      <c r="F160" s="510"/>
      <c r="G160" s="510"/>
      <c r="H160" s="510"/>
      <c r="I160" s="511"/>
      <c r="J160" s="475"/>
      <c r="K160" s="476"/>
      <c r="L160" s="476"/>
      <c r="M160" s="477"/>
      <c r="P160" s="455">
        <f>IF($F$159=1,1,"")</f>
        <v>1</v>
      </c>
    </row>
    <row r="161" spans="1:16" s="13" customFormat="1" ht="34.5" customHeight="1">
      <c r="A161" s="56"/>
      <c r="B161" s="556" t="str">
        <f>IF(F159=1,"Ｑ２７－１．全熱交換器の熱回収モードと普通換気モードはありますか？","")</f>
        <v>Ｑ２７－１．全熱交換器の熱回収モードと普通換気モードはありますか？</v>
      </c>
      <c r="C161" s="557"/>
      <c r="D161" s="558"/>
      <c r="E161" s="512" t="str">
        <f>IF(F159=1,"1.はい　2.いいえ　3.分からない","")</f>
        <v>1.はい　2.いいえ　3.分からない</v>
      </c>
      <c r="F161" s="513">
        <v>1</v>
      </c>
      <c r="G161" s="514"/>
      <c r="H161" s="514"/>
      <c r="I161" s="515"/>
      <c r="J161" s="475"/>
      <c r="K161" s="476"/>
      <c r="L161" s="476"/>
      <c r="M161" s="477"/>
      <c r="P161" s="455">
        <f>IF($F$159=1,2,"")</f>
        <v>2</v>
      </c>
    </row>
    <row r="162" spans="1:16" s="13" customFormat="1" ht="34.5" customHeight="1">
      <c r="A162" s="56"/>
      <c r="B162" s="553" t="str">
        <f>IF(F161=1,"Ｑ２７－２．（Ｑ２７－１．で「はい」の回答の方へ。）全熱交換器の熱回収モードと普通換気モードを使い分けていますか？","")</f>
        <v>Ｑ２７－２．（Ｑ２７－１．で「はい」の回答の方へ。）全熱交換器の熱回収モードと普通換気モードを使い分けていますか？</v>
      </c>
      <c r="C162" s="554"/>
      <c r="D162" s="555"/>
      <c r="E162" s="461" t="str">
        <f>IF(F161=1,"1.はい　2.いいえ　3.分からない","")</f>
        <v>1.はい　2.いいえ　3.分からない</v>
      </c>
      <c r="F162" s="519">
        <v>1</v>
      </c>
      <c r="G162" s="407"/>
      <c r="H162" s="407"/>
      <c r="I162" s="409"/>
      <c r="J162" s="475"/>
      <c r="K162" s="476"/>
      <c r="L162" s="476"/>
      <c r="M162" s="477"/>
      <c r="P162" s="455">
        <f>IF($F$159=1,3,"")</f>
        <v>3</v>
      </c>
    </row>
    <row r="163" spans="1:16" s="13" customFormat="1" ht="34.5" customHeight="1">
      <c r="A163" s="262"/>
      <c r="B163" s="562" t="s">
        <v>536</v>
      </c>
      <c r="C163" s="563"/>
      <c r="D163" s="564"/>
      <c r="E163" s="297" t="s">
        <v>199</v>
      </c>
      <c r="F163" s="508">
        <v>1</v>
      </c>
      <c r="G163" s="29"/>
      <c r="H163" s="29"/>
      <c r="I163" s="57"/>
      <c r="J163" s="475"/>
      <c r="K163" s="476"/>
      <c r="L163" s="476"/>
      <c r="M163" s="477"/>
      <c r="P163" s="58" t="s">
        <v>535</v>
      </c>
    </row>
    <row r="164" spans="1:16" s="13" customFormat="1" ht="34.5" customHeight="1">
      <c r="A164" s="263"/>
      <c r="B164" s="562" t="s">
        <v>537</v>
      </c>
      <c r="C164" s="563"/>
      <c r="D164" s="564"/>
      <c r="E164" s="297" t="s">
        <v>199</v>
      </c>
      <c r="F164" s="508">
        <v>1</v>
      </c>
      <c r="G164" s="27"/>
      <c r="H164" s="28"/>
      <c r="I164" s="260"/>
      <c r="J164" s="475"/>
      <c r="K164" s="476"/>
      <c r="L164" s="476"/>
      <c r="M164" s="477"/>
      <c r="P164" s="455">
        <f>IF($F$161=1,1,"")</f>
        <v>1</v>
      </c>
    </row>
    <row r="165" spans="1:16" s="13" customFormat="1" ht="34.5" customHeight="1">
      <c r="A165" s="263"/>
      <c r="B165" s="562" t="s">
        <v>538</v>
      </c>
      <c r="C165" s="563"/>
      <c r="D165" s="564"/>
      <c r="E165" s="297" t="s">
        <v>199</v>
      </c>
      <c r="F165" s="508">
        <v>2</v>
      </c>
      <c r="G165" s="27"/>
      <c r="H165" s="28"/>
      <c r="I165" s="260"/>
      <c r="J165" s="475"/>
      <c r="K165" s="476"/>
      <c r="L165" s="476"/>
      <c r="M165" s="477"/>
      <c r="P165" s="455">
        <f>IF($F$161=1,2,"")</f>
        <v>2</v>
      </c>
    </row>
    <row r="166" spans="1:16" s="13" customFormat="1" ht="34.5" customHeight="1">
      <c r="A166" s="263"/>
      <c r="B166" s="562" t="s">
        <v>539</v>
      </c>
      <c r="C166" s="563"/>
      <c r="D166" s="564"/>
      <c r="E166" s="297" t="s">
        <v>199</v>
      </c>
      <c r="F166" s="508">
        <v>2</v>
      </c>
      <c r="G166" s="27"/>
      <c r="H166" s="28"/>
      <c r="I166" s="260"/>
      <c r="J166" s="475"/>
      <c r="K166" s="476"/>
      <c r="L166" s="476"/>
      <c r="M166" s="477"/>
      <c r="P166" s="455">
        <f>IF($F$161=1,3,"")</f>
        <v>3</v>
      </c>
    </row>
    <row r="167" spans="1:16" s="13" customFormat="1" ht="34.5" customHeight="1">
      <c r="A167" s="263"/>
      <c r="B167" s="562" t="s">
        <v>555</v>
      </c>
      <c r="C167" s="563"/>
      <c r="D167" s="564"/>
      <c r="E167" s="297" t="s">
        <v>199</v>
      </c>
      <c r="F167" s="508">
        <v>2</v>
      </c>
      <c r="G167" s="27"/>
      <c r="H167" s="28"/>
      <c r="I167" s="260"/>
      <c r="J167" s="475"/>
      <c r="K167" s="476"/>
      <c r="L167" s="476"/>
      <c r="M167" s="477"/>
      <c r="P167" s="55"/>
    </row>
    <row r="168" spans="1:16" s="13" customFormat="1" ht="34.5" customHeight="1">
      <c r="A168" s="264"/>
      <c r="B168" s="562" t="s">
        <v>556</v>
      </c>
      <c r="C168" s="563"/>
      <c r="D168" s="564"/>
      <c r="E168" s="297" t="s">
        <v>199</v>
      </c>
      <c r="F168" s="508">
        <v>2</v>
      </c>
      <c r="G168" s="27"/>
      <c r="H168" s="28"/>
      <c r="I168" s="260"/>
      <c r="J168" s="482"/>
      <c r="K168" s="483"/>
      <c r="L168" s="483"/>
      <c r="M168" s="484"/>
      <c r="P168" s="29"/>
    </row>
    <row r="169" s="13" customFormat="1" ht="13.5"/>
    <row r="170" s="13" customFormat="1" ht="13.5">
      <c r="A170" s="13" t="s">
        <v>679</v>
      </c>
    </row>
    <row r="171" spans="1:13" s="13" customFormat="1" ht="13.5">
      <c r="A171" s="14" t="s">
        <v>564</v>
      </c>
      <c r="B171" s="15"/>
      <c r="C171" s="15"/>
      <c r="D171" s="15"/>
      <c r="E171" s="15"/>
      <c r="F171" s="14" t="s">
        <v>680</v>
      </c>
      <c r="G171" s="15"/>
      <c r="H171" s="15"/>
      <c r="I171" s="16"/>
      <c r="J171" s="14"/>
      <c r="K171" s="15"/>
      <c r="L171" s="15"/>
      <c r="M171" s="16"/>
    </row>
    <row r="172" spans="1:13" s="13" customFormat="1" ht="13.5">
      <c r="A172" s="531"/>
      <c r="B172" s="528"/>
      <c r="C172" s="528"/>
      <c r="D172" s="528"/>
      <c r="E172" s="528"/>
      <c r="F172" s="531"/>
      <c r="G172" s="528"/>
      <c r="H172" s="528"/>
      <c r="I172" s="528"/>
      <c r="J172" s="528"/>
      <c r="K172" s="528"/>
      <c r="L172" s="528"/>
      <c r="M172" s="529"/>
    </row>
    <row r="173" spans="1:13" s="13" customFormat="1" ht="13.5">
      <c r="A173" s="531"/>
      <c r="B173" s="528"/>
      <c r="C173" s="528"/>
      <c r="D173" s="528"/>
      <c r="E173" s="528"/>
      <c r="F173" s="531"/>
      <c r="G173" s="528"/>
      <c r="H173" s="528"/>
      <c r="I173" s="528"/>
      <c r="J173" s="528"/>
      <c r="K173" s="528"/>
      <c r="L173" s="528"/>
      <c r="M173" s="529"/>
    </row>
    <row r="174" spans="1:13" s="13" customFormat="1" ht="13.5">
      <c r="A174" s="531"/>
      <c r="B174" s="528"/>
      <c r="C174" s="528"/>
      <c r="D174" s="528"/>
      <c r="E174" s="528"/>
      <c r="F174" s="531"/>
      <c r="G174" s="528"/>
      <c r="H174" s="528"/>
      <c r="I174" s="528"/>
      <c r="J174" s="528"/>
      <c r="K174" s="528"/>
      <c r="L174" s="528"/>
      <c r="M174" s="529"/>
    </row>
    <row r="175" s="13" customFormat="1" ht="13.5">
      <c r="A175" s="13" t="s">
        <v>681</v>
      </c>
    </row>
    <row r="176" spans="1:13" ht="34.5" customHeight="1" thickBot="1">
      <c r="A176" s="559"/>
      <c r="B176" s="560"/>
      <c r="C176" s="560"/>
      <c r="D176" s="560"/>
      <c r="E176" s="560"/>
      <c r="F176" s="560"/>
      <c r="G176" s="560"/>
      <c r="H176" s="560"/>
      <c r="I176" s="560"/>
      <c r="J176" s="560"/>
      <c r="K176" s="560"/>
      <c r="L176" s="560"/>
      <c r="M176" s="561"/>
    </row>
    <row r="177" spans="12:27" ht="17.25">
      <c r="L177" s="259" t="s">
        <v>567</v>
      </c>
      <c r="O177" s="76" t="s">
        <v>19</v>
      </c>
      <c r="P177" s="77"/>
      <c r="Q177" s="77"/>
      <c r="R177" s="77"/>
      <c r="S177" s="78"/>
      <c r="T177" s="76" t="s">
        <v>20</v>
      </c>
      <c r="U177" s="77"/>
      <c r="V177" s="77"/>
      <c r="W177" s="77"/>
      <c r="X177" s="61"/>
      <c r="Y177" s="62" t="s">
        <v>210</v>
      </c>
      <c r="Z177" s="60"/>
      <c r="AA177" s="61"/>
    </row>
    <row r="178" spans="1:29" ht="18" thickBot="1">
      <c r="A178" s="26"/>
      <c r="O178" s="85" t="s">
        <v>682</v>
      </c>
      <c r="P178" s="52"/>
      <c r="Q178" s="46" t="s">
        <v>683</v>
      </c>
      <c r="R178" s="47"/>
      <c r="S178" s="86" t="s">
        <v>123</v>
      </c>
      <c r="T178" s="85" t="s">
        <v>682</v>
      </c>
      <c r="U178" s="52"/>
      <c r="V178" s="46" t="s">
        <v>683</v>
      </c>
      <c r="W178" s="47"/>
      <c r="X178" s="86" t="s">
        <v>123</v>
      </c>
      <c r="Y178" s="87" t="s">
        <v>65</v>
      </c>
      <c r="Z178" s="53" t="s">
        <v>124</v>
      </c>
      <c r="AA178" s="86" t="s">
        <v>123</v>
      </c>
      <c r="AB178" s="51"/>
      <c r="AC178" s="54"/>
    </row>
    <row r="179" spans="14:27" ht="77.25" customHeight="1">
      <c r="N179" s="62" t="s">
        <v>684</v>
      </c>
      <c r="O179" s="88">
        <f>O121+O146</f>
        <v>76.59420289855073</v>
      </c>
      <c r="P179" s="89" t="s">
        <v>200</v>
      </c>
      <c r="Q179" s="90">
        <f>Q121+Q146</f>
        <v>100</v>
      </c>
      <c r="R179" s="59" t="s">
        <v>200</v>
      </c>
      <c r="S179" s="358">
        <f>IF(Q179=0,1,O179/Q179*100)</f>
        <v>76.59420289855073</v>
      </c>
      <c r="T179" s="88">
        <f>T146</f>
        <v>80</v>
      </c>
      <c r="U179" s="89" t="s">
        <v>200</v>
      </c>
      <c r="V179" s="90">
        <f>V146</f>
        <v>89.41176470588235</v>
      </c>
      <c r="W179" s="59" t="s">
        <v>200</v>
      </c>
      <c r="X179" s="358">
        <f>IF(V179=0,1,T179/V179*100)</f>
        <v>89.47368421052632</v>
      </c>
      <c r="Y179" s="91">
        <f>Y146+Y121</f>
        <v>77.02898550724638</v>
      </c>
      <c r="Z179" s="92">
        <f>Z146+Z121</f>
        <v>98.04347826086956</v>
      </c>
      <c r="AA179" s="358">
        <f>IF(Z179=0,1,Y179/Z179*100)</f>
        <v>78.56614929785661</v>
      </c>
    </row>
    <row r="180" spans="14:27" ht="12" hidden="1" thickBot="1">
      <c r="N180" s="81"/>
      <c r="O180" s="93">
        <f>O179/Q179*100</f>
        <v>76.59420289855073</v>
      </c>
      <c r="P180" s="82" t="s">
        <v>207</v>
      </c>
      <c r="Q180" s="82"/>
      <c r="R180" s="83"/>
      <c r="S180" s="94"/>
      <c r="T180" s="93">
        <f>T179/V179*100</f>
        <v>89.47368421052632</v>
      </c>
      <c r="U180" s="82" t="s">
        <v>207</v>
      </c>
      <c r="V180" s="82"/>
      <c r="W180" s="83"/>
      <c r="X180" s="94"/>
      <c r="Y180" s="93">
        <f>Y179/Z179*100</f>
        <v>78.56614929785661</v>
      </c>
      <c r="Z180" s="82" t="s">
        <v>207</v>
      </c>
      <c r="AA180" s="94"/>
    </row>
    <row r="181" spans="6:27" ht="11.25" hidden="1">
      <c r="F181" s="10" t="s">
        <v>660</v>
      </c>
      <c r="G181" s="10" t="s">
        <v>11</v>
      </c>
      <c r="H181" s="10" t="s">
        <v>685</v>
      </c>
      <c r="I181" s="10" t="s">
        <v>686</v>
      </c>
      <c r="J181" s="10" t="s">
        <v>660</v>
      </c>
      <c r="K181" s="10" t="s">
        <v>11</v>
      </c>
      <c r="L181" s="10" t="s">
        <v>685</v>
      </c>
      <c r="M181" s="10" t="s">
        <v>686</v>
      </c>
      <c r="N181" s="62" t="s">
        <v>659</v>
      </c>
      <c r="O181" s="96">
        <f>SUM(O21:O42)/SUM($P21:$P144)</f>
        <v>17.391304347826086</v>
      </c>
      <c r="P181" s="60" t="s">
        <v>197</v>
      </c>
      <c r="Q181" s="97">
        <f>SUM(Q21:Q42)/SUM($P21:$P144)</f>
        <v>21.73913043478261</v>
      </c>
      <c r="R181" s="59" t="s">
        <v>197</v>
      </c>
      <c r="S181" s="361">
        <f aca="true" t="shared" si="0" ref="S181:S186">IF(Q181=0,1,O181/Q181*100)</f>
        <v>80</v>
      </c>
      <c r="T181" s="96">
        <f>SUM(T21:T42)/SUM($U21:$U144)</f>
        <v>20</v>
      </c>
      <c r="U181" s="59" t="s">
        <v>197</v>
      </c>
      <c r="V181" s="97">
        <f>SUM(V21:V42)/SUM($U21:$U144)</f>
        <v>25.88235294117647</v>
      </c>
      <c r="W181" s="59" t="s">
        <v>197</v>
      </c>
      <c r="X181" s="361">
        <f aca="true" t="shared" si="1" ref="X181:X186">IF(V181=0,1,T181/V181*100)</f>
        <v>77.27272727272727</v>
      </c>
      <c r="Y181" s="98">
        <f>SUM(Y21:Y42)/SUM($AA21:$AA144)</f>
        <v>16.73913043478261</v>
      </c>
      <c r="Z181" s="99">
        <f>SUM(Z21:Z42)/SUM($AA21:$AA144)</f>
        <v>21.08695652173913</v>
      </c>
      <c r="AA181" s="361">
        <f aca="true" t="shared" si="2" ref="AA181:AA186">IF(Z181=0,1,Y181/Z181*100)</f>
        <v>79.38144329896907</v>
      </c>
    </row>
    <row r="182" spans="14:27" ht="11.25" hidden="1">
      <c r="N182" s="79" t="s">
        <v>667</v>
      </c>
      <c r="O182" s="80">
        <f>SUM(O48:O63)/SUM($P21:$P144)</f>
        <v>11.304347826086957</v>
      </c>
      <c r="P182" s="48" t="s">
        <v>201</v>
      </c>
      <c r="Q182" s="49">
        <f>SUM(Q48:Q63)/SUM($P21:$P144)</f>
        <v>17.391304347826086</v>
      </c>
      <c r="R182" s="45" t="s">
        <v>201</v>
      </c>
      <c r="S182" s="362">
        <f t="shared" si="0"/>
        <v>65</v>
      </c>
      <c r="T182" s="80">
        <f>SUM(T48:T63)/SUM($U21:$U144)</f>
        <v>20</v>
      </c>
      <c r="U182" s="45" t="s">
        <v>201</v>
      </c>
      <c r="V182" s="49">
        <f>SUM(V48:V63)/SUM($U21:$U144)</f>
        <v>23.529411764705884</v>
      </c>
      <c r="W182" s="45" t="s">
        <v>201</v>
      </c>
      <c r="X182" s="362">
        <f t="shared" si="1"/>
        <v>85</v>
      </c>
      <c r="Y182" s="84">
        <f>SUM(Y48:Y63)/SUM($AA21:$AA144)</f>
        <v>12.173913043478262</v>
      </c>
      <c r="Z182" s="50">
        <f>SUM(Z48:Z63)/SUM($AA21:$AA144)</f>
        <v>17.391304347826086</v>
      </c>
      <c r="AA182" s="362">
        <f t="shared" si="2"/>
        <v>70</v>
      </c>
    </row>
    <row r="183" spans="6:27" ht="11.25" hidden="1">
      <c r="F183" s="10">
        <v>100</v>
      </c>
      <c r="G183" s="10">
        <v>3</v>
      </c>
      <c r="H183" s="10">
        <v>1</v>
      </c>
      <c r="I183" s="11">
        <v>1</v>
      </c>
      <c r="J183" s="10">
        <v>100</v>
      </c>
      <c r="K183" s="10">
        <v>3</v>
      </c>
      <c r="L183" s="10">
        <v>1</v>
      </c>
      <c r="M183" s="11">
        <v>1</v>
      </c>
      <c r="N183" s="79" t="s">
        <v>610</v>
      </c>
      <c r="O183" s="80">
        <f>SUM(O69:O84)/SUM($P21:$P144)</f>
        <v>13.91304347826087</v>
      </c>
      <c r="P183" s="48" t="s">
        <v>202</v>
      </c>
      <c r="Q183" s="49">
        <f>SUM(Q69:Q84)/SUM($P21:$P144)</f>
        <v>17.391304347826086</v>
      </c>
      <c r="R183" s="45" t="s">
        <v>202</v>
      </c>
      <c r="S183" s="362">
        <f t="shared" si="0"/>
        <v>80</v>
      </c>
      <c r="T183" s="80">
        <f>SUM(T69:T84)/SUM($U21:$U144)</f>
        <v>18.823529411764707</v>
      </c>
      <c r="U183" s="45" t="s">
        <v>202</v>
      </c>
      <c r="V183" s="49">
        <f>SUM(V69:V84)/SUM($U21:$U144)</f>
        <v>18.823529411764707</v>
      </c>
      <c r="W183" s="45" t="s">
        <v>202</v>
      </c>
      <c r="X183" s="362">
        <f t="shared" si="1"/>
        <v>100</v>
      </c>
      <c r="Y183" s="84">
        <f>SUM(Y69:Y84)/SUM($AA21:$AA144)</f>
        <v>13.91304347826087</v>
      </c>
      <c r="Z183" s="50">
        <f>SUM(Z69:Z84)/SUM($AA21:$AA144)</f>
        <v>16.52173913043478</v>
      </c>
      <c r="AA183" s="362">
        <f t="shared" si="2"/>
        <v>84.21052631578948</v>
      </c>
    </row>
    <row r="184" spans="6:27" ht="11.25" hidden="1">
      <c r="F184" s="10">
        <v>80</v>
      </c>
      <c r="G184" s="10">
        <v>6</v>
      </c>
      <c r="H184" s="10">
        <v>2</v>
      </c>
      <c r="I184" s="11">
        <v>0</v>
      </c>
      <c r="J184" s="10">
        <v>80</v>
      </c>
      <c r="K184" s="10">
        <v>6</v>
      </c>
      <c r="L184" s="10">
        <v>2</v>
      </c>
      <c r="M184" s="11">
        <v>0</v>
      </c>
      <c r="N184" s="79" t="s">
        <v>673</v>
      </c>
      <c r="O184" s="80">
        <f>SUM(O89:O99)/SUM($P21:$P144)</f>
        <v>10.434782608695652</v>
      </c>
      <c r="P184" s="48" t="s">
        <v>197</v>
      </c>
      <c r="Q184" s="49">
        <f>SUM(Q89:Q99)/SUM($P21:$P144)</f>
        <v>13.043478260869565</v>
      </c>
      <c r="R184" s="45" t="s">
        <v>197</v>
      </c>
      <c r="S184" s="362">
        <f t="shared" si="0"/>
        <v>80</v>
      </c>
      <c r="T184" s="80">
        <f>SUM(T89:T99)/SUM($U21:$U144)</f>
        <v>15.294117647058824</v>
      </c>
      <c r="U184" s="45" t="s">
        <v>197</v>
      </c>
      <c r="V184" s="49">
        <f>SUM(V89:V99)/SUM($U21:$U144)</f>
        <v>15.294117647058824</v>
      </c>
      <c r="W184" s="45" t="s">
        <v>197</v>
      </c>
      <c r="X184" s="362">
        <f t="shared" si="1"/>
        <v>100</v>
      </c>
      <c r="Y184" s="84">
        <f>SUM(Y89:Y99)/SUM($AA21:$AA144)</f>
        <v>10.652173913043478</v>
      </c>
      <c r="Z184" s="50">
        <f>SUM(Z89:Z99)/SUM($AA21:$AA144)</f>
        <v>12.608695652173912</v>
      </c>
      <c r="AA184" s="362">
        <f t="shared" si="2"/>
        <v>84.48275862068965</v>
      </c>
    </row>
    <row r="185" spans="6:27" ht="11.25" hidden="1">
      <c r="F185" s="10">
        <v>60</v>
      </c>
      <c r="G185" s="10">
        <v>9</v>
      </c>
      <c r="I185" s="11"/>
      <c r="J185" s="10">
        <v>60</v>
      </c>
      <c r="K185" s="10">
        <v>9</v>
      </c>
      <c r="M185" s="11"/>
      <c r="N185" s="79" t="s">
        <v>18</v>
      </c>
      <c r="O185" s="80">
        <f>(O105+O109)/SUM($P21:$P144)</f>
        <v>8.695652173913043</v>
      </c>
      <c r="P185" s="48" t="s">
        <v>203</v>
      </c>
      <c r="Q185" s="49">
        <f>(Q105+Q109)/SUM($P21:$P144)</f>
        <v>8.695652173913043</v>
      </c>
      <c r="R185" s="45" t="s">
        <v>203</v>
      </c>
      <c r="S185" s="362">
        <f t="shared" si="0"/>
        <v>100</v>
      </c>
      <c r="T185" s="80">
        <f>(T105+T109)/SUM($U21:$U144)</f>
        <v>5.882352941176471</v>
      </c>
      <c r="U185" s="45" t="s">
        <v>203</v>
      </c>
      <c r="V185" s="49">
        <f>(V105+V109)/SUM($U21:$U144)</f>
        <v>5.882352941176471</v>
      </c>
      <c r="W185" s="45" t="s">
        <v>203</v>
      </c>
      <c r="X185" s="362">
        <f t="shared" si="1"/>
        <v>100</v>
      </c>
      <c r="Y185" s="84">
        <f>(Y105+Y109)/SUM($AA21:$AA144)</f>
        <v>8.695652173913043</v>
      </c>
      <c r="Z185" s="50">
        <f>(Z105+Z109)/SUM($AA21:$AA144)</f>
        <v>8.695652173913043</v>
      </c>
      <c r="AA185" s="362">
        <f t="shared" si="2"/>
        <v>100</v>
      </c>
    </row>
    <row r="186" spans="6:27" ht="12" hidden="1" thickBot="1">
      <c r="F186" s="10">
        <v>40</v>
      </c>
      <c r="G186" s="10">
        <v>12</v>
      </c>
      <c r="H186" s="12">
        <v>1</v>
      </c>
      <c r="I186" s="11">
        <v>1</v>
      </c>
      <c r="J186" s="10">
        <v>40</v>
      </c>
      <c r="K186" s="10">
        <v>12</v>
      </c>
      <c r="L186" s="12">
        <v>1</v>
      </c>
      <c r="M186" s="11">
        <v>1</v>
      </c>
      <c r="N186" s="100" t="s">
        <v>675</v>
      </c>
      <c r="O186" s="359">
        <f>SUM(O128:O144)/SUM($P21:$P144)</f>
        <v>14.855072463768114</v>
      </c>
      <c r="P186" s="101" t="s">
        <v>204</v>
      </c>
      <c r="Q186" s="360">
        <f>SUM(Q128:Q144)/SUM($P21:$P144)</f>
        <v>21.73913043478261</v>
      </c>
      <c r="R186" s="103" t="s">
        <v>204</v>
      </c>
      <c r="S186" s="363">
        <f t="shared" si="0"/>
        <v>68.33333333333333</v>
      </c>
      <c r="T186" s="359">
        <f>SUM(T128:T144)/SUM($U21:$U144)</f>
        <v>0</v>
      </c>
      <c r="U186" s="103" t="s">
        <v>204</v>
      </c>
      <c r="V186" s="360">
        <f>SUM(V128:V144)/SUM($U21:$U144)</f>
        <v>0</v>
      </c>
      <c r="W186" s="103" t="s">
        <v>204</v>
      </c>
      <c r="X186" s="364">
        <f t="shared" si="1"/>
        <v>1</v>
      </c>
      <c r="Y186" s="95">
        <f>SUM(Y128:Y144)/SUM($AA21:$AA144)</f>
        <v>14.855072463768114</v>
      </c>
      <c r="Z186" s="107">
        <f>SUM(Z128:Z144)/SUM($AA21:$AA144)</f>
        <v>21.73913043478261</v>
      </c>
      <c r="AA186" s="364">
        <f t="shared" si="2"/>
        <v>68.33333333333333</v>
      </c>
    </row>
    <row r="187" spans="6:27" ht="12" hidden="1" thickBot="1">
      <c r="F187" s="10">
        <v>20</v>
      </c>
      <c r="H187" s="12">
        <v>2</v>
      </c>
      <c r="I187" s="11">
        <v>0</v>
      </c>
      <c r="J187" s="10">
        <v>20</v>
      </c>
      <c r="L187" s="12">
        <v>2</v>
      </c>
      <c r="M187" s="11">
        <v>0</v>
      </c>
      <c r="N187" s="100" t="s">
        <v>13</v>
      </c>
      <c r="O187" s="100">
        <f>O121</f>
        <v>0</v>
      </c>
      <c r="P187" s="101" t="s">
        <v>205</v>
      </c>
      <c r="Q187" s="102">
        <f>Q121</f>
        <v>0</v>
      </c>
      <c r="R187" s="103" t="s">
        <v>205</v>
      </c>
      <c r="S187" s="104"/>
      <c r="T187" s="100"/>
      <c r="U187" s="103" t="s">
        <v>205</v>
      </c>
      <c r="V187" s="102"/>
      <c r="W187" s="103" t="s">
        <v>205</v>
      </c>
      <c r="X187" s="104"/>
      <c r="Y187" s="105">
        <f>Y121</f>
        <v>0</v>
      </c>
      <c r="Z187" s="106">
        <f>Z121</f>
        <v>0</v>
      </c>
      <c r="AA187" s="104"/>
    </row>
    <row r="188" spans="8:13" ht="11.25" hidden="1">
      <c r="H188" s="12">
        <v>3</v>
      </c>
      <c r="I188" s="11">
        <v>0</v>
      </c>
      <c r="L188" s="12">
        <v>3</v>
      </c>
      <c r="M188" s="11">
        <v>0</v>
      </c>
    </row>
    <row r="189" spans="8:13" ht="11.25" hidden="1">
      <c r="H189" s="12">
        <v>4</v>
      </c>
      <c r="I189" s="11">
        <v>0</v>
      </c>
      <c r="L189" s="12">
        <v>4</v>
      </c>
      <c r="M189" s="11">
        <v>0</v>
      </c>
    </row>
    <row r="190" ht="11.25" hidden="1"/>
    <row r="197" ht="12" customHeight="1"/>
    <row r="198" ht="27.75" customHeight="1"/>
    <row r="199" ht="28.5" customHeight="1"/>
    <row r="200" ht="27.75" customHeight="1"/>
    <row r="201" ht="27.75" customHeight="1"/>
    <row r="202" ht="30" customHeight="1"/>
    <row r="203" ht="30" customHeight="1"/>
    <row r="204" ht="30" customHeight="1"/>
    <row r="205" ht="30" customHeight="1"/>
    <row r="206" ht="30" customHeight="1"/>
    <row r="207" ht="30" customHeight="1"/>
    <row r="209" ht="24.75" customHeight="1"/>
  </sheetData>
  <sheetProtection/>
  <mergeCells count="188">
    <mergeCell ref="A4:B8"/>
    <mergeCell ref="E4:M4"/>
    <mergeCell ref="E5:M5"/>
    <mergeCell ref="F6:M6"/>
    <mergeCell ref="F8:G8"/>
    <mergeCell ref="J8:K8"/>
    <mergeCell ref="H8:I8"/>
    <mergeCell ref="L8:M8"/>
    <mergeCell ref="B149:D149"/>
    <mergeCell ref="A10:B14"/>
    <mergeCell ref="C13:D13"/>
    <mergeCell ref="B110:E110"/>
    <mergeCell ref="B128:D128"/>
    <mergeCell ref="B105:D105"/>
    <mergeCell ref="B89:D89"/>
    <mergeCell ref="B109:D109"/>
    <mergeCell ref="D30:E30"/>
    <mergeCell ref="D45:E45"/>
    <mergeCell ref="A174:E174"/>
    <mergeCell ref="F174:I174"/>
    <mergeCell ref="B159:D159"/>
    <mergeCell ref="B163:D163"/>
    <mergeCell ref="A172:E172"/>
    <mergeCell ref="F172:I172"/>
    <mergeCell ref="B164:D164"/>
    <mergeCell ref="B165:D165"/>
    <mergeCell ref="A118:E118"/>
    <mergeCell ref="A116:E116"/>
    <mergeCell ref="A117:E117"/>
    <mergeCell ref="F118:I118"/>
    <mergeCell ref="F117:I117"/>
    <mergeCell ref="F116:I116"/>
    <mergeCell ref="F139:I139"/>
    <mergeCell ref="F147:I147"/>
    <mergeCell ref="B157:D157"/>
    <mergeCell ref="A119:E119"/>
    <mergeCell ref="F141:F142"/>
    <mergeCell ref="F143:I143"/>
    <mergeCell ref="B144:D144"/>
    <mergeCell ref="B133:E133"/>
    <mergeCell ref="B152:D152"/>
    <mergeCell ref="B151:D151"/>
    <mergeCell ref="J103:M103"/>
    <mergeCell ref="J173:M173"/>
    <mergeCell ref="A123:M123"/>
    <mergeCell ref="B168:D168"/>
    <mergeCell ref="B155:D155"/>
    <mergeCell ref="B147:E147"/>
    <mergeCell ref="B154:D154"/>
    <mergeCell ref="B153:D153"/>
    <mergeCell ref="J119:M119"/>
    <mergeCell ref="B132:D132"/>
    <mergeCell ref="B148:D148"/>
    <mergeCell ref="B137:E137"/>
    <mergeCell ref="B136:D136"/>
    <mergeCell ref="B129:E129"/>
    <mergeCell ref="B140:D140"/>
    <mergeCell ref="B141:E141"/>
    <mergeCell ref="B127:E127"/>
    <mergeCell ref="B158:D158"/>
    <mergeCell ref="B161:D161"/>
    <mergeCell ref="A176:M176"/>
    <mergeCell ref="B162:D162"/>
    <mergeCell ref="A173:E173"/>
    <mergeCell ref="F173:I173"/>
    <mergeCell ref="J172:M172"/>
    <mergeCell ref="B167:D167"/>
    <mergeCell ref="B166:D166"/>
    <mergeCell ref="J174:M174"/>
    <mergeCell ref="B49:E49"/>
    <mergeCell ref="B53:D53"/>
    <mergeCell ref="B58:D58"/>
    <mergeCell ref="B54:E54"/>
    <mergeCell ref="F98:I98"/>
    <mergeCell ref="F108:I108"/>
    <mergeCell ref="B90:E90"/>
    <mergeCell ref="B100:E100"/>
    <mergeCell ref="B94:D94"/>
    <mergeCell ref="B99:D99"/>
    <mergeCell ref="B95:E95"/>
    <mergeCell ref="B106:E106"/>
    <mergeCell ref="F103:I103"/>
    <mergeCell ref="F100:F102"/>
    <mergeCell ref="F106:F107"/>
    <mergeCell ref="F27:F30"/>
    <mergeCell ref="F33:F35"/>
    <mergeCell ref="F73:I73"/>
    <mergeCell ref="F67:I67"/>
    <mergeCell ref="F49:F51"/>
    <mergeCell ref="F70:F72"/>
    <mergeCell ref="F40:I41"/>
    <mergeCell ref="F36:I36"/>
    <mergeCell ref="F59:F61"/>
    <mergeCell ref="F38:F39"/>
    <mergeCell ref="J43:J45"/>
    <mergeCell ref="J46:M46"/>
    <mergeCell ref="J75:J77"/>
    <mergeCell ref="F46:I46"/>
    <mergeCell ref="F52:I52"/>
    <mergeCell ref="F57:I57"/>
    <mergeCell ref="F54:F56"/>
    <mergeCell ref="F64:F66"/>
    <mergeCell ref="F62:I62"/>
    <mergeCell ref="J64:J66"/>
    <mergeCell ref="B21:D21"/>
    <mergeCell ref="B37:D37"/>
    <mergeCell ref="B33:E33"/>
    <mergeCell ref="B26:D26"/>
    <mergeCell ref="B27:E27"/>
    <mergeCell ref="B22:E22"/>
    <mergeCell ref="B32:D32"/>
    <mergeCell ref="B48:D48"/>
    <mergeCell ref="B42:D42"/>
    <mergeCell ref="B38:E38"/>
    <mergeCell ref="B43:E43"/>
    <mergeCell ref="B70:E70"/>
    <mergeCell ref="F83:I83"/>
    <mergeCell ref="D60:E60"/>
    <mergeCell ref="B59:E59"/>
    <mergeCell ref="B69:D69"/>
    <mergeCell ref="B64:E64"/>
    <mergeCell ref="B79:D79"/>
    <mergeCell ref="B84:D84"/>
    <mergeCell ref="B80:E80"/>
    <mergeCell ref="B85:E85"/>
    <mergeCell ref="F80:F82"/>
    <mergeCell ref="B75:E75"/>
    <mergeCell ref="F78:I78"/>
    <mergeCell ref="J22:J24"/>
    <mergeCell ref="J25:M25"/>
    <mergeCell ref="J27:J30"/>
    <mergeCell ref="J31:M31"/>
    <mergeCell ref="J57:M57"/>
    <mergeCell ref="F85:F86"/>
    <mergeCell ref="F75:F77"/>
    <mergeCell ref="J49:J51"/>
    <mergeCell ref="J52:M52"/>
    <mergeCell ref="F22:F24"/>
    <mergeCell ref="J80:J82"/>
    <mergeCell ref="J78:M78"/>
    <mergeCell ref="J67:M67"/>
    <mergeCell ref="J70:J72"/>
    <mergeCell ref="B63:D63"/>
    <mergeCell ref="J33:J35"/>
    <mergeCell ref="J36:M36"/>
    <mergeCell ref="J38:J39"/>
    <mergeCell ref="J40:M41"/>
    <mergeCell ref="B74:D74"/>
    <mergeCell ref="F25:I25"/>
    <mergeCell ref="J93:M93"/>
    <mergeCell ref="J95:J97"/>
    <mergeCell ref="F90:F92"/>
    <mergeCell ref="F87:I87"/>
    <mergeCell ref="J90:J92"/>
    <mergeCell ref="J87:M87"/>
    <mergeCell ref="F95:F97"/>
    <mergeCell ref="J59:J61"/>
    <mergeCell ref="J62:M62"/>
    <mergeCell ref="J118:M118"/>
    <mergeCell ref="F137:F138"/>
    <mergeCell ref="F131:I131"/>
    <mergeCell ref="F135:I135"/>
    <mergeCell ref="F133:F134"/>
    <mergeCell ref="F19:M19"/>
    <mergeCell ref="F20:I20"/>
    <mergeCell ref="J20:M20"/>
    <mergeCell ref="F93:I93"/>
    <mergeCell ref="J73:M73"/>
    <mergeCell ref="F119:I119"/>
    <mergeCell ref="F31:I31"/>
    <mergeCell ref="F43:F45"/>
    <mergeCell ref="J54:J56"/>
    <mergeCell ref="J83:M83"/>
    <mergeCell ref="F129:F130"/>
    <mergeCell ref="J110:J111"/>
    <mergeCell ref="J112:M112"/>
    <mergeCell ref="F112:I112"/>
    <mergeCell ref="F110:F111"/>
    <mergeCell ref="J85:J86"/>
    <mergeCell ref="F127:I127"/>
    <mergeCell ref="J116:M116"/>
    <mergeCell ref="J117:M117"/>
    <mergeCell ref="A70:A71"/>
    <mergeCell ref="J120:M120"/>
    <mergeCell ref="A120:E120"/>
    <mergeCell ref="F120:I120"/>
    <mergeCell ref="J98:M98"/>
    <mergeCell ref="J100:J102"/>
  </mergeCells>
  <conditionalFormatting sqref="H21 L99 H26 L48 H32 L53 H37 L58 H42 L63 H48 H99 H53 L89 H58 H84 H63 L69 H69 L74 H74 L42 L79 H79 L84 H89 L94 H94 L21 L26 L32 L37">
    <cfRule type="expression" priority="1" dxfId="19" stopIfTrue="1">
      <formula>F21=1</formula>
    </cfRule>
  </conditionalFormatting>
  <conditionalFormatting sqref="F25 J57 F36 J62 F46 J67 F52 F98 F57 J103 F62 F103 F67 J73 F73 J78 F78 J83 F83 J93 F93 J98 J52 J25 J36 J46">
    <cfRule type="expression" priority="2" dxfId="20" stopIfTrue="1">
      <formula>F22=3</formula>
    </cfRule>
  </conditionalFormatting>
  <conditionalFormatting sqref="H24 L56 H35 L61 H45 L66 H51 H97 H56 L102 H61 H102 H66 L72 H72 L77 H77 L82 H82 L92 H92 L97 L51 L24 L35 L45">
    <cfRule type="expression" priority="3" dxfId="21" stopIfTrue="1">
      <formula>F22=3</formula>
    </cfRule>
  </conditionalFormatting>
  <conditionalFormatting sqref="I24 M56 I35 M61 I45 M66 I51 I97 I56 M102 I61 I102 I66 M72 I72 M77 I77 M82 I82 M92 I92 M97 M51 M24 M35 M45">
    <cfRule type="expression" priority="4" dxfId="21" stopIfTrue="1">
      <formula>F22=3</formula>
    </cfRule>
  </conditionalFormatting>
  <conditionalFormatting sqref="F31:M31">
    <cfRule type="expression" priority="5" dxfId="11" stopIfTrue="1">
      <formula>F27=4</formula>
    </cfRule>
  </conditionalFormatting>
  <conditionalFormatting sqref="F87:M87 F108:I108 F131:I131 F135:I135 F40:M41 F139:I139 F143:I143 F145:I146 F112:M112">
    <cfRule type="expression" priority="6" dxfId="20" stopIfTrue="1">
      <formula>F38=2</formula>
    </cfRule>
  </conditionalFormatting>
  <conditionalFormatting sqref="G128 G136 G132 G105 G140 G109 K109">
    <cfRule type="expression" priority="7" dxfId="22" stopIfTrue="1">
      <formula>F105=1</formula>
    </cfRule>
  </conditionalFormatting>
  <conditionalFormatting sqref="F129:F130 F133:F134 F137:F138 F106:F107 F141:F142 F110:F111 J110:J111">
    <cfRule type="expression" priority="8" dxfId="11" stopIfTrue="1">
      <formula>F105=2</formula>
    </cfRule>
  </conditionalFormatting>
  <conditionalFormatting sqref="G129 G133 G137 G106 G141 G110 K110">
    <cfRule type="expression" priority="9" dxfId="23" stopIfTrue="1">
      <formula>F105=2</formula>
    </cfRule>
  </conditionalFormatting>
  <conditionalFormatting sqref="G130 G134 G138 G107 G142 G111 K111">
    <cfRule type="expression" priority="10" dxfId="23" stopIfTrue="1">
      <formula>F105=2</formula>
    </cfRule>
  </conditionalFormatting>
  <conditionalFormatting sqref="F22 F33 F43 F49 F54 F59 F64 F70 F75 F80 F90 F95 F100 F27 F38:F39 F85:F86 J100 J95 J90 J85:J86 J80 J75 J70 J49 J54 J59 J64 J22 J33 J43 J27 J38:J39">
    <cfRule type="expression" priority="11" dxfId="8" stopIfTrue="1">
      <formula>OR(F21="",H21=100)</formula>
    </cfRule>
  </conditionalFormatting>
  <conditionalFormatting sqref="G22 G33 G43 G49 G54 G59 G64 G70 G75 G80 G90 G95 G100 G27 G38 G85 K100 K95 K90 K85 K80 K75 K70 K49 K54 K59 K64 K22 K33 K43 K27 K38">
    <cfRule type="expression" priority="12" dxfId="4" stopIfTrue="1">
      <formula>OR(F21="",H21=100)</formula>
    </cfRule>
  </conditionalFormatting>
  <conditionalFormatting sqref="G23 G34 G44 G50 G55 G60 G65 G71 G76 G81 G91 G96 G101 G28 G39 G86 K101 K96 K91 K86 K81 K76 K71 K50 K55 K60 K65 K23 K34 K44 K28 K39">
    <cfRule type="expression" priority="13" dxfId="4" stopIfTrue="1">
      <formula>OR(F21="",H21=100)</formula>
    </cfRule>
  </conditionalFormatting>
  <conditionalFormatting sqref="G24 G35 G45 G51 G56 G61 G66 G72 G77 G82 G92 G97 G102 G29 K102 K97 K92 K82 K77 K72 K51 K56 K61 K66 K24 K35 K45 K29">
    <cfRule type="expression" priority="14" dxfId="4" stopIfTrue="1">
      <formula>OR(F21="",H21=100)</formula>
    </cfRule>
  </conditionalFormatting>
  <conditionalFormatting sqref="G30 K30">
    <cfRule type="expression" priority="15" dxfId="4" stopIfTrue="1">
      <formula>OR(F26="",H26=100)</formula>
    </cfRule>
  </conditionalFormatting>
  <conditionalFormatting sqref="G151:G152 F151:F154">
    <cfRule type="expression" priority="16" dxfId="22" stopIfTrue="1">
      <formula>$F$149=1</formula>
    </cfRule>
  </conditionalFormatting>
  <conditionalFormatting sqref="F157:F158">
    <cfRule type="expression" priority="17" dxfId="22" stopIfTrue="1">
      <formula>$F$155=1</formula>
    </cfRule>
  </conditionalFormatting>
  <conditionalFormatting sqref="F162">
    <cfRule type="expression" priority="18" dxfId="22" stopIfTrue="1">
      <formula>$F$161=1</formula>
    </cfRule>
  </conditionalFormatting>
  <conditionalFormatting sqref="F161">
    <cfRule type="expression" priority="19" dxfId="22" stopIfTrue="1">
      <formula>$F$159=1</formula>
    </cfRule>
  </conditionalFormatting>
  <dataValidations count="17">
    <dataValidation type="list" allowBlank="1" showInputMessage="1" showErrorMessage="1" sqref="H21 H37 H99 H32 H26 H42 H48 H53 H58 H63 H69 H74 H79 H84 H89 H94">
      <formula1>S21:S25</formula1>
    </dataValidation>
    <dataValidation type="list" allowBlank="1" showInputMessage="1" showErrorMessage="1" sqref="G128 G136 G132 G105 G140 G109">
      <formula1>S128:S131</formula1>
    </dataValidation>
    <dataValidation type="list" allowBlank="1" showInputMessage="1" showErrorMessage="1" sqref="F64:F66 F95:F97 F100:F102 F33:F35 F43:F45 F49:F51 F54:F56 F59:F61 F70:F72 F75:F77 F90:F92 F22 F80:F82">
      <formula1>R63:R65</formula1>
    </dataValidation>
    <dataValidation type="list" allowBlank="1" showInputMessage="1" showErrorMessage="1" sqref="F27:F29">
      <formula1>R26:R29</formula1>
    </dataValidation>
    <dataValidation type="list" allowBlank="1" showInputMessage="1" showErrorMessage="1" sqref="F106:F107 F137:F138 F133:F134 F129:F130 F38:F39 F85:F86 F141:F142 F110:F111">
      <formula1>R105:R106</formula1>
    </dataValidation>
    <dataValidation type="list" allowBlank="1" showInputMessage="1" showErrorMessage="1" sqref="L89 L26 L32 L37 L42 L48 L53 L58 L63 L69 L74 L94 L99 L79 L84 L21">
      <formula1>X89:X93</formula1>
    </dataValidation>
    <dataValidation type="list" allowBlank="1" showInputMessage="1" showErrorMessage="1" sqref="J95:J97 J33:J35 J43:J45 J49:J51 J54:J56 J59:J61 J64:J66 J70:J72 J75:J77 J100:J102 J90:J92 J22:J24 J80:J82">
      <formula1>W94:W96</formula1>
    </dataValidation>
    <dataValidation type="list" allowBlank="1" showInputMessage="1" showErrorMessage="1" sqref="J27:J30">
      <formula1>W26:W29</formula1>
    </dataValidation>
    <dataValidation type="list" allowBlank="1" showInputMessage="1" showErrorMessage="1" sqref="J38:J39 J85:J86">
      <formula1>W37:W38</formula1>
    </dataValidation>
    <dataValidation type="list" allowBlank="1" showInputMessage="1" showErrorMessage="1" sqref="F128 F58 F21 F26 F32 J21 F42 F48 F53 F63 F69 F74 F84 F89 F94 F99 F132 F136 F105 J99 J26 J32 J37 J42 J48 J53 J58 J63 J69 J74 F109 J79 J84 J89 J94 F37 F144 F79 F140 J109">
      <formula1>$H$183:$H$184</formula1>
    </dataValidation>
    <dataValidation type="list" allowBlank="1" showInputMessage="1" showErrorMessage="1" sqref="F151:F154">
      <formula1>$P$150:$P$152</formula1>
    </dataValidation>
    <dataValidation type="list" allowBlank="1" showInputMessage="1" showErrorMessage="1" sqref="F157:F158">
      <formula1>$P$156:$P$158</formula1>
    </dataValidation>
    <dataValidation type="list" allowBlank="1" showInputMessage="1" showErrorMessage="1" sqref="F162">
      <formula1>$P$164:$P$166</formula1>
    </dataValidation>
    <dataValidation type="list" allowBlank="1" showInputMessage="1" showErrorMessage="1" sqref="J110:J111">
      <formula1>$W$109:$W$110</formula1>
    </dataValidation>
    <dataValidation type="list" allowBlank="1" showInputMessage="1" showErrorMessage="1" sqref="F161">
      <formula1>$P$160:$P$162</formula1>
    </dataValidation>
    <dataValidation type="list" allowBlank="1" showInputMessage="1" showErrorMessage="1" sqref="F148:F149 F155 F159 F163:F168">
      <formula1>$H$186:$H$188</formula1>
    </dataValidation>
    <dataValidation type="list" allowBlank="1" showInputMessage="1" showErrorMessage="1" sqref="K109">
      <formula1>$X$109:$X$112</formula1>
    </dataValidation>
  </dataValidations>
  <printOptions/>
  <pageMargins left="0.5118110236220472" right="0.1968503937007874" top="0.35433070866141736" bottom="0.1968503937007874" header="0.1968503937007874" footer="0.4330708661417323"/>
  <pageSetup firstPageNumber="21" useFirstPageNumber="1" fitToHeight="2" horizontalDpi="600" verticalDpi="600" orientation="portrait" paperSize="9" scale="70" r:id="rId1"/>
  <headerFooter alignWithMargins="0">
    <oddHeader>&amp;R記入例</oddHeader>
  </headerFooter>
  <rowBreaks count="3" manualBreakCount="3">
    <brk id="68" max="12" man="1"/>
    <brk id="124" max="12" man="1"/>
    <brk id="178" max="8" man="1"/>
  </rowBreaks>
</worksheet>
</file>

<file path=xl/worksheets/sheet3.xml><?xml version="1.0" encoding="utf-8"?>
<worksheet xmlns="http://schemas.openxmlformats.org/spreadsheetml/2006/main" xmlns:r="http://schemas.openxmlformats.org/officeDocument/2006/relationships">
  <sheetPr>
    <pageSetUpPr fitToPage="1"/>
  </sheetPr>
  <dimension ref="A1:J151"/>
  <sheetViews>
    <sheetView showGridLines="0" view="pageBreakPreview" zoomScaleNormal="85" zoomScaleSheetLayoutView="100" zoomScalePageLayoutView="0" workbookViewId="0" topLeftCell="A76">
      <selection activeCell="L89" sqref="L89"/>
    </sheetView>
  </sheetViews>
  <sheetFormatPr defaultColWidth="9.00390625" defaultRowHeight="13.5"/>
  <cols>
    <col min="1" max="3" width="2.625" style="10" customWidth="1"/>
    <col min="4" max="4" width="8.875" style="10" customWidth="1"/>
    <col min="5" max="5" width="14.125" style="10" bestFit="1" customWidth="1"/>
    <col min="6" max="6" width="19.875" style="10" customWidth="1"/>
    <col min="7" max="7" width="9.375" style="10" customWidth="1"/>
    <col min="8" max="8" width="9.00390625" style="10" customWidth="1"/>
    <col min="9" max="9" width="12.00390625" style="10" customWidth="1"/>
    <col min="10" max="10" width="10.125" style="10" customWidth="1"/>
    <col min="11" max="11" width="6.875" style="10" customWidth="1"/>
    <col min="12" max="16384" width="9.00390625" style="10" customWidth="1"/>
  </cols>
  <sheetData>
    <row r="1" ht="17.25">
      <c r="A1" s="3" t="s">
        <v>47</v>
      </c>
    </row>
    <row r="3" ht="13.5">
      <c r="B3" s="280" t="s">
        <v>470</v>
      </c>
    </row>
    <row r="4" ht="13.5">
      <c r="B4" s="280" t="s">
        <v>508</v>
      </c>
    </row>
    <row r="6" spans="1:9" ht="14.25">
      <c r="A6" s="258" t="s">
        <v>469</v>
      </c>
      <c r="B6" s="13"/>
      <c r="C6" s="13"/>
      <c r="D6" s="13"/>
      <c r="E6" s="13"/>
      <c r="F6" s="13"/>
      <c r="G6" s="13"/>
      <c r="H6" s="13"/>
      <c r="I6" s="13"/>
    </row>
    <row r="7" spans="1:9" ht="13.5">
      <c r="A7" s="13"/>
      <c r="B7" s="13"/>
      <c r="C7" s="13"/>
      <c r="D7" s="13"/>
      <c r="E7" s="13"/>
      <c r="F7" s="13"/>
      <c r="G7" s="13"/>
      <c r="H7" s="13"/>
      <c r="I7" s="13"/>
    </row>
    <row r="8" spans="1:10" ht="13.5">
      <c r="A8" s="13"/>
      <c r="B8" s="405" t="s">
        <v>731</v>
      </c>
      <c r="C8" s="406"/>
      <c r="D8" s="405" t="s">
        <v>648</v>
      </c>
      <c r="E8" s="55"/>
      <c r="F8" s="55"/>
      <c r="G8" s="55"/>
      <c r="H8" s="55"/>
      <c r="I8" s="55"/>
      <c r="J8" s="47"/>
    </row>
    <row r="9" spans="1:10" ht="13.5">
      <c r="A9" s="13"/>
      <c r="B9" s="56"/>
      <c r="C9" s="57"/>
      <c r="D9" s="278">
        <f>'回答算出'!C9+'回答算出'!H9</f>
        <v>1920</v>
      </c>
      <c r="E9" s="407" t="s">
        <v>150</v>
      </c>
      <c r="F9" s="407"/>
      <c r="G9" s="407"/>
      <c r="H9" s="407"/>
      <c r="I9" s="407"/>
      <c r="J9" s="281"/>
    </row>
    <row r="10" spans="1:10" ht="13.5">
      <c r="A10" s="13"/>
      <c r="B10" s="56"/>
      <c r="C10" s="57"/>
      <c r="D10" s="405" t="str">
        <f>IF(OR('質問'!F22=1,'質問'!J22=1),"利用者の協力により、昼休みの消灯の採用率が高まると、省エネ効果は","")</f>
        <v>利用者の協力により、昼休みの消灯の採用率が高まると、省エネ効果は</v>
      </c>
      <c r="E10" s="55"/>
      <c r="F10" s="55"/>
      <c r="G10" s="55"/>
      <c r="H10" s="55"/>
      <c r="I10" s="55"/>
      <c r="J10" s="47"/>
    </row>
    <row r="11" spans="1:10" ht="13.5">
      <c r="A11" s="13"/>
      <c r="B11" s="408"/>
      <c r="C11" s="409"/>
      <c r="D11" s="279">
        <f>IF(OR('質問'!F22=1,'質問'!J22=1),'回答算出'!C10+'回答算出'!H10-D9,"")</f>
        <v>480</v>
      </c>
      <c r="E11" s="407" t="str">
        <f>IF(OR('質問'!F22=1,'質問'!J22=1),"ｋWh/年増えると予想されます。","")</f>
        <v>ｋWh/年増えると予想されます。</v>
      </c>
      <c r="F11" s="407"/>
      <c r="G11" s="407"/>
      <c r="H11" s="407"/>
      <c r="I11" s="407"/>
      <c r="J11" s="281"/>
    </row>
    <row r="12" spans="1:10" ht="13.5">
      <c r="A12" s="13"/>
      <c r="B12" s="13"/>
      <c r="C12" s="13"/>
      <c r="D12" s="13"/>
      <c r="E12" s="13"/>
      <c r="F12" s="13"/>
      <c r="G12" s="13"/>
      <c r="H12" s="13"/>
      <c r="I12" s="13"/>
      <c r="J12" s="51"/>
    </row>
    <row r="13" spans="1:10" ht="13.5">
      <c r="A13" s="13"/>
      <c r="B13" s="405" t="s">
        <v>732</v>
      </c>
      <c r="C13" s="406"/>
      <c r="D13" s="405" t="s">
        <v>687</v>
      </c>
      <c r="E13" s="55"/>
      <c r="F13" s="55"/>
      <c r="G13" s="55"/>
      <c r="H13" s="55"/>
      <c r="I13" s="55"/>
      <c r="J13" s="47"/>
    </row>
    <row r="14" spans="1:10" ht="13.5">
      <c r="A14" s="13"/>
      <c r="B14" s="56"/>
      <c r="C14" s="57"/>
      <c r="D14" s="278">
        <f>'回答算出'!C17+'回答算出'!H17</f>
        <v>3840</v>
      </c>
      <c r="E14" s="407" t="s">
        <v>151</v>
      </c>
      <c r="F14" s="407"/>
      <c r="G14" s="407"/>
      <c r="H14" s="407"/>
      <c r="I14" s="407"/>
      <c r="J14" s="281"/>
    </row>
    <row r="15" spans="1:10" ht="13.5">
      <c r="A15" s="13"/>
      <c r="B15" s="56"/>
      <c r="C15" s="57"/>
      <c r="D15" s="405" t="str">
        <f>IF(OR('質問'!F27=1,'質問'!J27=1),"利用者の協力により、窓際消灯の採用率が高まると、省エネ効果は","")</f>
        <v>利用者の協力により、窓際消灯の採用率が高まると、省エネ効果は</v>
      </c>
      <c r="E15" s="55"/>
      <c r="F15" s="55"/>
      <c r="G15" s="55"/>
      <c r="H15" s="55"/>
      <c r="I15" s="55"/>
      <c r="J15" s="47"/>
    </row>
    <row r="16" spans="1:10" ht="13.5">
      <c r="A16" s="13"/>
      <c r="B16" s="408"/>
      <c r="C16" s="409"/>
      <c r="D16" s="279">
        <f>IF(OR('質問'!F27=1,'質問'!J27=1),'回答算出'!C18+'回答算出'!H18-D14,"")</f>
        <v>720</v>
      </c>
      <c r="E16" s="407" t="str">
        <f>IF(OR('質問'!F27=1,'質問'!J27=1),"ｋWh/年増えると予想されます。","")</f>
        <v>ｋWh/年増えると予想されます。</v>
      </c>
      <c r="F16" s="407"/>
      <c r="G16" s="407"/>
      <c r="H16" s="407"/>
      <c r="I16" s="407"/>
      <c r="J16" s="281"/>
    </row>
    <row r="17" spans="1:10" ht="13.5">
      <c r="A17" s="13"/>
      <c r="B17" s="13"/>
      <c r="C17" s="13"/>
      <c r="D17" s="13"/>
      <c r="E17" s="13"/>
      <c r="F17" s="13"/>
      <c r="G17" s="13"/>
      <c r="H17" s="13"/>
      <c r="I17" s="13"/>
      <c r="J17" s="51"/>
    </row>
    <row r="18" spans="1:10" ht="13.5">
      <c r="A18" s="13"/>
      <c r="B18" s="405" t="s">
        <v>152</v>
      </c>
      <c r="C18" s="406"/>
      <c r="D18" s="405" t="s">
        <v>688</v>
      </c>
      <c r="E18" s="55"/>
      <c r="F18" s="55"/>
      <c r="G18" s="55"/>
      <c r="H18" s="55"/>
      <c r="I18" s="55"/>
      <c r="J18" s="47"/>
    </row>
    <row r="19" spans="1:10" ht="13.5">
      <c r="A19" s="13"/>
      <c r="B19" s="56"/>
      <c r="C19" s="57"/>
      <c r="D19" s="278">
        <f>'回答算出'!C27+'回答算出'!H27</f>
        <v>975</v>
      </c>
      <c r="E19" s="407" t="s">
        <v>151</v>
      </c>
      <c r="F19" s="407"/>
      <c r="G19" s="407"/>
      <c r="H19" s="407"/>
      <c r="I19" s="407"/>
      <c r="J19" s="281"/>
    </row>
    <row r="20" spans="1:10" ht="13.5">
      <c r="A20" s="13"/>
      <c r="B20" s="56"/>
      <c r="C20" s="57"/>
      <c r="D20" s="405" t="str">
        <f>IF(OR('質問'!F33=1,'質問'!J33=1),"利用者の協力により、廊下間引き点灯の採用率が高まると、省エネ効果は","")</f>
        <v>利用者の協力により、廊下間引き点灯の採用率が高まると、省エネ効果は</v>
      </c>
      <c r="E20" s="55"/>
      <c r="F20" s="55"/>
      <c r="G20" s="55"/>
      <c r="H20" s="55"/>
      <c r="I20" s="55"/>
      <c r="J20" s="47"/>
    </row>
    <row r="21" spans="1:10" ht="13.5">
      <c r="A21" s="13"/>
      <c r="B21" s="408"/>
      <c r="C21" s="409"/>
      <c r="D21" s="279">
        <f>IF(OR('質問'!F33=1,'質問'!J33=1),'回答算出'!C28+'回答算出'!H28-D19,"")</f>
        <v>525</v>
      </c>
      <c r="E21" s="407" t="str">
        <f>IF(OR('質問'!F33=1,'質問'!J33=1),"ｋWh/年増えると予想されます。","")</f>
        <v>ｋWh/年増えると予想されます。</v>
      </c>
      <c r="F21" s="407"/>
      <c r="G21" s="407"/>
      <c r="H21" s="407"/>
      <c r="I21" s="407"/>
      <c r="J21" s="281"/>
    </row>
    <row r="22" spans="1:10" ht="13.5">
      <c r="A22" s="13"/>
      <c r="B22" s="13"/>
      <c r="C22" s="13"/>
      <c r="D22" s="13"/>
      <c r="E22" s="13"/>
      <c r="F22" s="13"/>
      <c r="G22" s="13"/>
      <c r="H22" s="13"/>
      <c r="I22" s="13"/>
      <c r="J22" s="51"/>
    </row>
    <row r="23" spans="1:10" ht="13.5">
      <c r="A23" s="13"/>
      <c r="B23" s="405" t="s">
        <v>153</v>
      </c>
      <c r="C23" s="406"/>
      <c r="D23" s="405" t="s">
        <v>689</v>
      </c>
      <c r="E23" s="55"/>
      <c r="F23" s="55"/>
      <c r="G23" s="55"/>
      <c r="H23" s="55"/>
      <c r="I23" s="55"/>
      <c r="J23" s="47"/>
    </row>
    <row r="24" spans="1:10" ht="13.5">
      <c r="A24" s="13"/>
      <c r="B24" s="56"/>
      <c r="C24" s="57"/>
      <c r="D24" s="278">
        <f>'回答算出'!C37+'回答算出'!H37</f>
        <v>96</v>
      </c>
      <c r="E24" s="407" t="s">
        <v>151</v>
      </c>
      <c r="F24" s="407"/>
      <c r="G24" s="407"/>
      <c r="H24" s="407"/>
      <c r="I24" s="407"/>
      <c r="J24" s="281"/>
    </row>
    <row r="25" spans="1:10" ht="13.5">
      <c r="A25" s="13"/>
      <c r="B25" s="56"/>
      <c r="C25" s="57"/>
      <c r="D25" s="405" t="str">
        <f>IF(OR('質問'!F38=1,'質問'!J38=1),"利用者の協力により、倉庫などの消灯の採用率が高まると、省エネ効果は","")</f>
        <v>利用者の協力により、倉庫などの消灯の採用率が高まると、省エネ効果は</v>
      </c>
      <c r="E25" s="55"/>
      <c r="F25" s="55"/>
      <c r="G25" s="55"/>
      <c r="H25" s="55"/>
      <c r="I25" s="55"/>
      <c r="J25" s="47"/>
    </row>
    <row r="26" spans="1:10" ht="13.5">
      <c r="A26" s="13"/>
      <c r="B26" s="408"/>
      <c r="C26" s="409"/>
      <c r="D26" s="279">
        <f>IF(OR('質問'!F38=1,'質問'!J38=1),'回答算出'!C38+'回答算出'!H38-D24,"")</f>
        <v>18</v>
      </c>
      <c r="E26" s="407" t="str">
        <f>IF(OR('質問'!F38=1,'質問'!J38=1),"ｋWh/年増えると予想されます。","")</f>
        <v>ｋWh/年増えると予想されます。</v>
      </c>
      <c r="F26" s="407"/>
      <c r="G26" s="407"/>
      <c r="H26" s="407"/>
      <c r="I26" s="407"/>
      <c r="J26" s="281"/>
    </row>
    <row r="27" spans="1:10" ht="13.5">
      <c r="A27" s="13"/>
      <c r="B27" s="13"/>
      <c r="C27" s="13"/>
      <c r="D27" s="13"/>
      <c r="E27" s="13"/>
      <c r="F27" s="13"/>
      <c r="G27" s="13"/>
      <c r="H27" s="13"/>
      <c r="I27" s="13"/>
      <c r="J27" s="51"/>
    </row>
    <row r="28" spans="1:10" ht="13.5">
      <c r="A28" s="13"/>
      <c r="B28" s="405" t="s">
        <v>154</v>
      </c>
      <c r="C28" s="406"/>
      <c r="D28" s="405" t="s">
        <v>700</v>
      </c>
      <c r="E28" s="55"/>
      <c r="F28" s="55"/>
      <c r="G28" s="55"/>
      <c r="H28" s="55"/>
      <c r="I28" s="55"/>
      <c r="J28" s="47"/>
    </row>
    <row r="29" spans="1:10" ht="13.5">
      <c r="A29" s="13"/>
      <c r="B29" s="56"/>
      <c r="C29" s="57"/>
      <c r="D29" s="278">
        <f>'回答算出'!C47+'回答算出'!H47</f>
        <v>192</v>
      </c>
      <c r="E29" s="407" t="s">
        <v>151</v>
      </c>
      <c r="F29" s="407"/>
      <c r="G29" s="407"/>
      <c r="H29" s="407"/>
      <c r="I29" s="407"/>
      <c r="J29" s="281"/>
    </row>
    <row r="30" spans="1:10" ht="13.5">
      <c r="A30" s="13"/>
      <c r="B30" s="56"/>
      <c r="C30" s="57"/>
      <c r="D30" s="405" t="str">
        <f>IF(OR('質問'!F43=1,'質問'!J43=1),"利用者の協力により、トイレの消灯の採用率が高まると、省エネ効果は","")</f>
        <v>利用者の協力により、トイレの消灯の採用率が高まると、省エネ効果は</v>
      </c>
      <c r="E30" s="55"/>
      <c r="F30" s="55"/>
      <c r="G30" s="55"/>
      <c r="H30" s="55"/>
      <c r="I30" s="55"/>
      <c r="J30" s="47"/>
    </row>
    <row r="31" spans="1:10" ht="13.5">
      <c r="A31" s="13"/>
      <c r="B31" s="408"/>
      <c r="C31" s="409"/>
      <c r="D31" s="279">
        <f>IF(OR('質問'!F43=1,'質問'!J43=1),'回答算出'!C48+'回答算出'!H48-D29,"")</f>
        <v>36</v>
      </c>
      <c r="E31" s="407" t="str">
        <f>IF(OR('質問'!F43=1,'質問'!J43=1),"ｋWh/年増えると予想されます。","")</f>
        <v>ｋWh/年増えると予想されます。</v>
      </c>
      <c r="F31" s="407"/>
      <c r="G31" s="407"/>
      <c r="H31" s="407"/>
      <c r="I31" s="407"/>
      <c r="J31" s="281"/>
    </row>
    <row r="32" spans="1:10" ht="13.5">
      <c r="A32" s="13"/>
      <c r="B32" s="13"/>
      <c r="C32" s="13"/>
      <c r="D32" s="13"/>
      <c r="E32" s="13"/>
      <c r="F32" s="13"/>
      <c r="G32" s="13"/>
      <c r="H32" s="13"/>
      <c r="I32" s="13"/>
      <c r="J32" s="51"/>
    </row>
    <row r="33" spans="1:10" ht="14.25">
      <c r="A33" s="258" t="s">
        <v>509</v>
      </c>
      <c r="B33" s="13"/>
      <c r="C33" s="13"/>
      <c r="D33" s="13"/>
      <c r="E33" s="13"/>
      <c r="F33" s="13"/>
      <c r="G33" s="13"/>
      <c r="H33" s="13"/>
      <c r="I33" s="13"/>
      <c r="J33" s="51"/>
    </row>
    <row r="34" spans="1:10" ht="13.5">
      <c r="A34" s="13"/>
      <c r="B34" s="13"/>
      <c r="C34" s="13"/>
      <c r="D34" s="13"/>
      <c r="E34" s="13"/>
      <c r="F34" s="13"/>
      <c r="G34" s="13"/>
      <c r="H34" s="13"/>
      <c r="I34" s="13"/>
      <c r="J34" s="51"/>
    </row>
    <row r="35" spans="1:10" ht="13.5">
      <c r="A35" s="13"/>
      <c r="B35" s="405" t="s">
        <v>733</v>
      </c>
      <c r="C35" s="406"/>
      <c r="D35" s="405" t="s">
        <v>701</v>
      </c>
      <c r="E35" s="55"/>
      <c r="F35" s="55"/>
      <c r="G35" s="55"/>
      <c r="H35" s="55"/>
      <c r="I35" s="55"/>
      <c r="J35" s="47"/>
    </row>
    <row r="36" spans="1:10" ht="13.5">
      <c r="A36" s="13"/>
      <c r="B36" s="56"/>
      <c r="C36" s="57"/>
      <c r="D36" s="278">
        <f>'回答算出'!C56+'回答算出'!H56</f>
        <v>35840</v>
      </c>
      <c r="E36" s="407" t="s">
        <v>155</v>
      </c>
      <c r="F36" s="407"/>
      <c r="G36" s="407"/>
      <c r="H36" s="407"/>
      <c r="I36" s="407"/>
      <c r="J36" s="281"/>
    </row>
    <row r="37" spans="1:10" ht="13.5">
      <c r="A37" s="13"/>
      <c r="B37" s="56"/>
      <c r="C37" s="57"/>
      <c r="D37" s="405" t="str">
        <f>IF(OR('質問'!F49=1,'質問'!J49=1),"利用者の協力により、冷房設定温度28℃の採用率が高まると、省エネ効果は","")</f>
        <v>利用者の協力により、冷房設定温度28℃の採用率が高まると、省エネ効果は</v>
      </c>
      <c r="E37" s="55"/>
      <c r="F37" s="55"/>
      <c r="G37" s="55"/>
      <c r="H37" s="55"/>
      <c r="I37" s="55"/>
      <c r="J37" s="47"/>
    </row>
    <row r="38" spans="1:10" ht="13.5">
      <c r="A38" s="13"/>
      <c r="B38" s="408"/>
      <c r="C38" s="409"/>
      <c r="D38" s="279">
        <f>IF(OR('質問'!F49=1,'質問'!J49=1),'回答算出'!C57+'回答算出'!H57-D36,"")</f>
        <v>8960</v>
      </c>
      <c r="E38" s="407" t="str">
        <f>IF(OR('質問'!F49=1,'質問'!J49=1),"MJ/年増えると予想されます。","")</f>
        <v>MJ/年増えると予想されます。</v>
      </c>
      <c r="F38" s="407"/>
      <c r="G38" s="407"/>
      <c r="H38" s="407"/>
      <c r="I38" s="407"/>
      <c r="J38" s="281"/>
    </row>
    <row r="39" spans="1:10" ht="13.5">
      <c r="A39" s="13"/>
      <c r="B39" s="13"/>
      <c r="C39" s="13"/>
      <c r="D39" s="13"/>
      <c r="E39" s="13"/>
      <c r="F39" s="13"/>
      <c r="G39" s="13"/>
      <c r="H39" s="13"/>
      <c r="I39" s="13"/>
      <c r="J39" s="51"/>
    </row>
    <row r="40" spans="1:10" ht="13.5">
      <c r="A40" s="13"/>
      <c r="B40" s="405" t="s">
        <v>156</v>
      </c>
      <c r="C40" s="406"/>
      <c r="D40" s="405" t="s">
        <v>702</v>
      </c>
      <c r="E40" s="55"/>
      <c r="F40" s="55"/>
      <c r="G40" s="55"/>
      <c r="H40" s="55"/>
      <c r="I40" s="55"/>
      <c r="J40" s="47"/>
    </row>
    <row r="41" spans="1:10" ht="13.5">
      <c r="A41" s="13"/>
      <c r="B41" s="56"/>
      <c r="C41" s="57"/>
      <c r="D41" s="278">
        <f>'回答算出'!C65+'回答算出'!H65</f>
        <v>24000</v>
      </c>
      <c r="E41" s="407" t="s">
        <v>760</v>
      </c>
      <c r="F41" s="407"/>
      <c r="G41" s="407"/>
      <c r="H41" s="407"/>
      <c r="I41" s="407"/>
      <c r="J41" s="281"/>
    </row>
    <row r="42" spans="1:10" ht="13.5">
      <c r="A42" s="13"/>
      <c r="B42" s="56"/>
      <c r="C42" s="57"/>
      <c r="D42" s="405" t="str">
        <f>IF(OR('質問'!F54=1,'質問'!J54=1),"利用者の協力により、冷房設定温度20℃の採用率が高まると、省エネ効果は","")</f>
        <v>利用者の協力により、冷房設定温度20℃の採用率が高まると、省エネ効果は</v>
      </c>
      <c r="E42" s="55"/>
      <c r="F42" s="55"/>
      <c r="G42" s="55"/>
      <c r="H42" s="55"/>
      <c r="I42" s="55"/>
      <c r="J42" s="47"/>
    </row>
    <row r="43" spans="1:10" ht="13.5">
      <c r="A43" s="13"/>
      <c r="B43" s="408"/>
      <c r="C43" s="409"/>
      <c r="D43" s="279">
        <f>IF(OR('質問'!F54=1,'質問'!J54=1),'回答算出'!C66+'回答算出'!H66-D41,"")</f>
        <v>6000</v>
      </c>
      <c r="E43" s="407" t="str">
        <f>IF(OR('質問'!F54=1,'質問'!J54=1),"MJ/年増えると予想されます。","")</f>
        <v>MJ/年増えると予想されます。</v>
      </c>
      <c r="F43" s="407"/>
      <c r="G43" s="407"/>
      <c r="H43" s="407"/>
      <c r="I43" s="407"/>
      <c r="J43" s="281"/>
    </row>
    <row r="44" spans="1:10" ht="13.5">
      <c r="A44" s="13"/>
      <c r="B44" s="13"/>
      <c r="C44" s="13"/>
      <c r="D44" s="13"/>
      <c r="E44" s="13"/>
      <c r="F44" s="13"/>
      <c r="G44" s="13"/>
      <c r="H44" s="13"/>
      <c r="I44" s="13"/>
      <c r="J44" s="51"/>
    </row>
    <row r="45" spans="1:10" ht="13.5">
      <c r="A45" s="13"/>
      <c r="B45" s="405" t="s">
        <v>157</v>
      </c>
      <c r="C45" s="406"/>
      <c r="D45" s="405" t="s">
        <v>703</v>
      </c>
      <c r="E45" s="55"/>
      <c r="F45" s="55"/>
      <c r="G45" s="55"/>
      <c r="H45" s="55"/>
      <c r="I45" s="55"/>
      <c r="J45" s="47"/>
    </row>
    <row r="46" spans="1:10" ht="13.5">
      <c r="A46" s="13"/>
      <c r="B46" s="56"/>
      <c r="C46" s="57"/>
      <c r="D46" s="278">
        <f>'回答算出'!C73+'回答算出'!H73</f>
        <v>8600</v>
      </c>
      <c r="E46" s="407" t="s">
        <v>760</v>
      </c>
      <c r="F46" s="407"/>
      <c r="G46" s="407"/>
      <c r="H46" s="407"/>
      <c r="I46" s="407"/>
      <c r="J46" s="281"/>
    </row>
    <row r="47" spans="1:10" ht="13.5">
      <c r="A47" s="13"/>
      <c r="B47" s="56"/>
      <c r="C47" s="57"/>
      <c r="D47" s="405" t="str">
        <f>IF(OR('質問'!F59=1,'質問'!J59=1),"利用者の協力により、空調停止の採用率が高まると、省エネ効果は","")</f>
        <v>利用者の協力により、空調停止の採用率が高まると、省エネ効果は</v>
      </c>
      <c r="E47" s="55"/>
      <c r="F47" s="55"/>
      <c r="G47" s="55"/>
      <c r="H47" s="55"/>
      <c r="I47" s="55"/>
      <c r="J47" s="47"/>
    </row>
    <row r="48" spans="1:10" ht="13.5">
      <c r="A48" s="13"/>
      <c r="B48" s="408"/>
      <c r="C48" s="409"/>
      <c r="D48" s="279">
        <f>IF(OR('質問'!F59=1,'質問'!J59=1),'回答算出'!C74+'回答算出'!H74-D46,"")</f>
        <v>12900</v>
      </c>
      <c r="E48" s="407" t="str">
        <f>IF(OR('質問'!F59=1,'質問'!J59=1),"MJ/年増えると予想されます。","")</f>
        <v>MJ/年増えると予想されます。</v>
      </c>
      <c r="F48" s="407"/>
      <c r="G48" s="407"/>
      <c r="H48" s="407"/>
      <c r="I48" s="407"/>
      <c r="J48" s="281"/>
    </row>
    <row r="49" spans="1:10" ht="13.5">
      <c r="A49" s="13"/>
      <c r="B49" s="13"/>
      <c r="C49" s="13"/>
      <c r="D49" s="13"/>
      <c r="E49" s="13"/>
      <c r="F49" s="13"/>
      <c r="G49" s="13"/>
      <c r="H49" s="13"/>
      <c r="I49" s="13"/>
      <c r="J49" s="51"/>
    </row>
    <row r="50" spans="1:10" ht="13.5">
      <c r="A50" s="13"/>
      <c r="B50" s="405" t="s">
        <v>158</v>
      </c>
      <c r="C50" s="406"/>
      <c r="D50" s="405" t="s">
        <v>704</v>
      </c>
      <c r="E50" s="55"/>
      <c r="F50" s="55"/>
      <c r="G50" s="55"/>
      <c r="H50" s="55"/>
      <c r="I50" s="55"/>
      <c r="J50" s="47"/>
    </row>
    <row r="51" spans="1:10" ht="13.5">
      <c r="A51" s="13"/>
      <c r="B51" s="56"/>
      <c r="C51" s="57"/>
      <c r="D51" s="278">
        <f>'回答算出'!C80+'回答算出'!H80</f>
        <v>20640</v>
      </c>
      <c r="E51" s="407" t="s">
        <v>760</v>
      </c>
      <c r="F51" s="407"/>
      <c r="G51" s="407"/>
      <c r="H51" s="407"/>
      <c r="I51" s="407"/>
      <c r="J51" s="281"/>
    </row>
    <row r="52" spans="1:10" ht="13.5">
      <c r="A52" s="13"/>
      <c r="B52" s="56"/>
      <c r="C52" s="57"/>
      <c r="D52" s="405" t="str">
        <f>IF(OR('質問'!F64=1,'質問'!J64=1),"利用者の協力により、空調時の窓/扉の閉鎖の採用率が高まると、省エネ効果は","")</f>
        <v>利用者の協力により、空調時の窓/扉の閉鎖の採用率が高まると、省エネ効果は</v>
      </c>
      <c r="E52" s="55"/>
      <c r="F52" s="55"/>
      <c r="G52" s="55"/>
      <c r="H52" s="55"/>
      <c r="I52" s="55"/>
      <c r="J52" s="47"/>
    </row>
    <row r="53" spans="1:10" ht="13.5">
      <c r="A53" s="13"/>
      <c r="B53" s="408"/>
      <c r="C53" s="409"/>
      <c r="D53" s="279">
        <f>IF(OR('質問'!F64=1,'質問'!J64=1),'回答算出'!C81+'回答算出'!H81-D51,"")</f>
        <v>5160</v>
      </c>
      <c r="E53" s="407" t="str">
        <f>IF(OR('質問'!F64=1,'質問'!J64=1),"MJ/年増えると予想されます。","")</f>
        <v>MJ/年増えると予想されます。</v>
      </c>
      <c r="F53" s="407"/>
      <c r="G53" s="407"/>
      <c r="H53" s="407"/>
      <c r="I53" s="407"/>
      <c r="J53" s="282"/>
    </row>
    <row r="54" spans="1:10" ht="13.5">
      <c r="A54" s="13"/>
      <c r="B54" s="13"/>
      <c r="C54" s="13"/>
      <c r="D54" s="13"/>
      <c r="E54" s="13"/>
      <c r="F54" s="13"/>
      <c r="G54" s="13"/>
      <c r="H54" s="13"/>
      <c r="I54" s="13"/>
      <c r="J54" s="51"/>
    </row>
    <row r="55" spans="1:10" ht="14.25">
      <c r="A55" s="258" t="s">
        <v>343</v>
      </c>
      <c r="B55" s="13"/>
      <c r="C55" s="13"/>
      <c r="D55" s="13"/>
      <c r="E55" s="13"/>
      <c r="F55" s="13"/>
      <c r="G55" s="13"/>
      <c r="H55" s="13"/>
      <c r="I55" s="13"/>
      <c r="J55" s="51"/>
    </row>
    <row r="56" spans="1:10" ht="13.5">
      <c r="A56" s="13"/>
      <c r="B56" s="13"/>
      <c r="C56" s="13"/>
      <c r="D56" s="13"/>
      <c r="E56" s="13"/>
      <c r="F56" s="13"/>
      <c r="G56" s="13"/>
      <c r="H56" s="13"/>
      <c r="I56" s="13"/>
      <c r="J56" s="51"/>
    </row>
    <row r="57" spans="1:10" ht="13.5">
      <c r="A57" s="13"/>
      <c r="B57" s="405" t="s">
        <v>159</v>
      </c>
      <c r="C57" s="406"/>
      <c r="D57" s="405" t="s">
        <v>705</v>
      </c>
      <c r="E57" s="55"/>
      <c r="F57" s="55"/>
      <c r="G57" s="55"/>
      <c r="H57" s="55"/>
      <c r="I57" s="55"/>
      <c r="J57" s="47"/>
    </row>
    <row r="58" spans="1:10" ht="13.5">
      <c r="A58" s="13"/>
      <c r="B58" s="56"/>
      <c r="C58" s="57"/>
      <c r="D58" s="278">
        <f>'回答算出'!C87+'回答算出'!H87</f>
        <v>17920</v>
      </c>
      <c r="E58" s="407" t="s">
        <v>760</v>
      </c>
      <c r="F58" s="407"/>
      <c r="G58" s="407"/>
      <c r="H58" s="407"/>
      <c r="I58" s="407"/>
      <c r="J58" s="281"/>
    </row>
    <row r="59" spans="1:10" ht="13.5">
      <c r="A59" s="13"/>
      <c r="B59" s="56"/>
      <c r="C59" s="57"/>
      <c r="D59" s="405" t="str">
        <f>IF(OR('質問'!F70=1,'質問'!J70=1),"利用者の協力により、冷房時のブラインドの閉鎖の採用率が高まると、省エネ効果は","")</f>
        <v>利用者の協力により、冷房時のブラインドの閉鎖の採用率が高まると、省エネ効果は</v>
      </c>
      <c r="E59" s="55"/>
      <c r="F59" s="55"/>
      <c r="G59" s="55"/>
      <c r="H59" s="55"/>
      <c r="I59" s="55"/>
      <c r="J59" s="47"/>
    </row>
    <row r="60" spans="1:10" ht="13.5">
      <c r="A60" s="13"/>
      <c r="B60" s="408"/>
      <c r="C60" s="409"/>
      <c r="D60" s="279">
        <f>IF(OR('質問'!F70=1,'質問'!J70=1),'回答算出'!C88+'回答算出'!H88-D58,"")</f>
        <v>3360</v>
      </c>
      <c r="E60" s="407" t="str">
        <f>IF(OR('質問'!F70=1,'質問'!J70=1),"MJ/年増えると予想されます。","")</f>
        <v>MJ/年増えると予想されます。</v>
      </c>
      <c r="F60" s="407"/>
      <c r="G60" s="407"/>
      <c r="H60" s="407"/>
      <c r="I60" s="407"/>
      <c r="J60" s="281"/>
    </row>
    <row r="61" spans="1:10" ht="13.5">
      <c r="A61" s="13"/>
      <c r="B61" s="13"/>
      <c r="C61" s="13"/>
      <c r="D61" s="13"/>
      <c r="E61" s="13"/>
      <c r="F61" s="13"/>
      <c r="G61" s="13"/>
      <c r="H61" s="13"/>
      <c r="I61" s="13"/>
      <c r="J61" s="51"/>
    </row>
    <row r="62" spans="1:10" ht="13.5">
      <c r="A62" s="13"/>
      <c r="B62" s="405" t="s">
        <v>160</v>
      </c>
      <c r="C62" s="406"/>
      <c r="D62" s="405" t="s">
        <v>706</v>
      </c>
      <c r="E62" s="55"/>
      <c r="F62" s="55"/>
      <c r="G62" s="55"/>
      <c r="H62" s="55"/>
      <c r="I62" s="55"/>
      <c r="J62" s="47"/>
    </row>
    <row r="63" spans="1:10" ht="13.5">
      <c r="A63" s="13"/>
      <c r="B63" s="56"/>
      <c r="C63" s="57"/>
      <c r="D63" s="278">
        <f>'回答算出'!C94+'回答算出'!H94</f>
        <v>4480</v>
      </c>
      <c r="E63" s="407" t="s">
        <v>760</v>
      </c>
      <c r="F63" s="407"/>
      <c r="G63" s="407"/>
      <c r="H63" s="407"/>
      <c r="I63" s="407"/>
      <c r="J63" s="281"/>
    </row>
    <row r="64" spans="1:10" ht="13.5">
      <c r="A64" s="13"/>
      <c r="B64" s="56"/>
      <c r="C64" s="57"/>
      <c r="D64" s="405" t="str">
        <f>IF(OR('質問'!F75=1,'質問'!J75=1),"利用者の協力により、退庁時のブラインドの閉鎖の採用率が高まると、省エネ効果は","")</f>
        <v>利用者の協力により、退庁時のブラインドの閉鎖の採用率が高まると、省エネ効果は</v>
      </c>
      <c r="E64" s="55"/>
      <c r="F64" s="55"/>
      <c r="G64" s="55"/>
      <c r="H64" s="55"/>
      <c r="I64" s="55"/>
      <c r="J64" s="47"/>
    </row>
    <row r="65" spans="1:10" ht="13.5">
      <c r="A65" s="13"/>
      <c r="B65" s="408"/>
      <c r="C65" s="409"/>
      <c r="D65" s="279">
        <f>IF(OR('質問'!F75=1,'質問'!J75=1),'回答算出'!C95+'回答算出'!H95-D63,"")</f>
        <v>840</v>
      </c>
      <c r="E65" s="407" t="str">
        <f>IF(OR('質問'!F75=1,'質問'!J75=1),"MJ/年増えると予想されます。","")</f>
        <v>MJ/年増えると予想されます。</v>
      </c>
      <c r="F65" s="407"/>
      <c r="G65" s="407"/>
      <c r="H65" s="407"/>
      <c r="I65" s="407"/>
      <c r="J65" s="281"/>
    </row>
    <row r="66" spans="1:9" ht="13.5">
      <c r="A66" s="13"/>
      <c r="B66" s="13"/>
      <c r="C66" s="13"/>
      <c r="D66" s="13"/>
      <c r="E66" s="13"/>
      <c r="F66" s="13"/>
      <c r="G66" s="13"/>
      <c r="H66" s="13"/>
      <c r="I66" s="13"/>
    </row>
    <row r="67" spans="1:10" ht="13.5">
      <c r="A67" s="13"/>
      <c r="B67" s="405" t="s">
        <v>161</v>
      </c>
      <c r="C67" s="406"/>
      <c r="D67" s="405" t="s">
        <v>707</v>
      </c>
      <c r="E67" s="55"/>
      <c r="F67" s="55"/>
      <c r="G67" s="55"/>
      <c r="H67" s="55"/>
      <c r="I67" s="55"/>
      <c r="J67" s="47"/>
    </row>
    <row r="68" spans="1:10" ht="13.5">
      <c r="A68" s="13"/>
      <c r="B68" s="56"/>
      <c r="C68" s="57"/>
      <c r="D68" s="279">
        <f>'回答算出'!C104+'回答算出'!H104</f>
        <v>240</v>
      </c>
      <c r="E68" s="407" t="s">
        <v>151</v>
      </c>
      <c r="F68" s="407"/>
      <c r="G68" s="407"/>
      <c r="H68" s="407"/>
      <c r="I68" s="407"/>
      <c r="J68" s="281"/>
    </row>
    <row r="69" spans="1:10" ht="13.5">
      <c r="A69" s="13"/>
      <c r="B69" s="56"/>
      <c r="C69" s="57"/>
      <c r="D69" s="405" t="str">
        <f>IF(OR('質問'!F80=1,'質問'!J80=1),"利用者の協力により、デスクライトの消灯の採用率が高まると、省エネ効果は","")</f>
        <v>利用者の協力により、デスクライトの消灯の採用率が高まると、省エネ効果は</v>
      </c>
      <c r="E69" s="55"/>
      <c r="F69" s="55"/>
      <c r="G69" s="55"/>
      <c r="H69" s="55"/>
      <c r="I69" s="55"/>
      <c r="J69" s="47"/>
    </row>
    <row r="70" spans="1:10" ht="13.5">
      <c r="A70" s="13"/>
      <c r="B70" s="408"/>
      <c r="C70" s="409"/>
      <c r="D70" s="279">
        <f>IF(OR('質問'!F80=1,'質問'!J80=1),'回答算出'!C105+'回答算出'!H105-D68,"")</f>
        <v>45</v>
      </c>
      <c r="E70" s="407" t="str">
        <f>IF(OR('質問'!F80=1,'質問'!J80=1),"ｋWh/年増えると予想されます。","")</f>
        <v>ｋWh/年増えると予想されます。</v>
      </c>
      <c r="F70" s="407"/>
      <c r="G70" s="407"/>
      <c r="H70" s="407"/>
      <c r="I70" s="407"/>
      <c r="J70" s="281"/>
    </row>
    <row r="71" spans="1:9" ht="13.5">
      <c r="A71" s="13"/>
      <c r="B71" s="13"/>
      <c r="C71" s="13"/>
      <c r="D71" s="13"/>
      <c r="E71" s="13"/>
      <c r="F71" s="13"/>
      <c r="G71" s="13"/>
      <c r="H71" s="13"/>
      <c r="I71" s="13"/>
    </row>
    <row r="72" spans="1:10" ht="13.5">
      <c r="A72" s="13"/>
      <c r="B72" s="405" t="s">
        <v>162</v>
      </c>
      <c r="C72" s="406"/>
      <c r="D72" s="405" t="s">
        <v>708</v>
      </c>
      <c r="E72" s="55"/>
      <c r="F72" s="55"/>
      <c r="G72" s="55"/>
      <c r="H72" s="55"/>
      <c r="I72" s="55"/>
      <c r="J72" s="47"/>
    </row>
    <row r="73" spans="1:10" ht="13.5">
      <c r="A73" s="13"/>
      <c r="B73" s="56"/>
      <c r="C73" s="57"/>
      <c r="D73" s="279">
        <f>'回答算出'!C114+'回答算出'!H114</f>
        <v>7200</v>
      </c>
      <c r="E73" s="407" t="s">
        <v>151</v>
      </c>
      <c r="F73" s="407"/>
      <c r="G73" s="407"/>
      <c r="H73" s="407"/>
      <c r="I73" s="407"/>
      <c r="J73" s="281"/>
    </row>
    <row r="74" spans="1:10" ht="13.5">
      <c r="A74" s="13"/>
      <c r="B74" s="56"/>
      <c r="C74" s="57"/>
      <c r="D74" s="405" t="str">
        <f>IF(OR('質問'!F85=1,'質問'!J85=1),"利用者の協力により、パソコンの電源OFFの採用率が高まると、省エネ効果は","")</f>
        <v>利用者の協力により、パソコンの電源OFFの採用率が高まると、省エネ効果は</v>
      </c>
      <c r="E74" s="55"/>
      <c r="F74" s="55"/>
      <c r="G74" s="55"/>
      <c r="H74" s="55"/>
      <c r="I74" s="55"/>
      <c r="J74" s="47"/>
    </row>
    <row r="75" spans="1:10" ht="13.5">
      <c r="A75" s="13"/>
      <c r="B75" s="408"/>
      <c r="C75" s="409"/>
      <c r="D75" s="279">
        <f>IF(OR('質問'!F85=1,'質問'!J85=1),'回答算出'!C115+'回答算出'!H115-D73,"")</f>
        <v>1350</v>
      </c>
      <c r="E75" s="407" t="str">
        <f>IF(OR('質問'!F85=1,'質問'!J85=1),"ｋWh/年増えると予想されます。","")</f>
        <v>ｋWh/年増えると予想されます。</v>
      </c>
      <c r="F75" s="407"/>
      <c r="G75" s="407"/>
      <c r="H75" s="407"/>
      <c r="I75" s="407"/>
      <c r="J75" s="281"/>
    </row>
    <row r="76" spans="1:9" ht="13.5">
      <c r="A76" s="13"/>
      <c r="B76" s="13"/>
      <c r="C76" s="13"/>
      <c r="D76" s="13"/>
      <c r="E76" s="13"/>
      <c r="F76" s="13"/>
      <c r="G76" s="13"/>
      <c r="H76" s="13"/>
      <c r="I76" s="13"/>
    </row>
    <row r="77" spans="1:9" ht="14.25">
      <c r="A77" s="258" t="s">
        <v>344</v>
      </c>
      <c r="B77" s="13"/>
      <c r="C77" s="13"/>
      <c r="D77" s="13"/>
      <c r="E77" s="13"/>
      <c r="F77" s="13"/>
      <c r="G77" s="13"/>
      <c r="H77" s="13"/>
      <c r="I77" s="13"/>
    </row>
    <row r="78" spans="1:9" ht="13.5">
      <c r="A78" s="13"/>
      <c r="B78" s="13"/>
      <c r="C78" s="13"/>
      <c r="D78" s="13"/>
      <c r="E78" s="13"/>
      <c r="F78" s="13"/>
      <c r="G78" s="13"/>
      <c r="H78" s="13"/>
      <c r="I78" s="13"/>
    </row>
    <row r="79" spans="1:10" ht="13.5">
      <c r="A79" s="13"/>
      <c r="B79" s="405" t="s">
        <v>163</v>
      </c>
      <c r="C79" s="406"/>
      <c r="D79" s="405" t="s">
        <v>342</v>
      </c>
      <c r="E79" s="55"/>
      <c r="F79" s="55"/>
      <c r="G79" s="55"/>
      <c r="H79" s="55"/>
      <c r="I79" s="55"/>
      <c r="J79" s="47"/>
    </row>
    <row r="80" spans="1:10" ht="13.5">
      <c r="A80" s="13"/>
      <c r="B80" s="56"/>
      <c r="C80" s="57"/>
      <c r="D80" s="279">
        <f>'回答算出'!C125+'回答算出'!H125</f>
        <v>480</v>
      </c>
      <c r="E80" s="407" t="s">
        <v>151</v>
      </c>
      <c r="F80" s="407"/>
      <c r="G80" s="407"/>
      <c r="H80" s="407"/>
      <c r="I80" s="407"/>
      <c r="J80" s="281"/>
    </row>
    <row r="81" spans="1:10" ht="13.5">
      <c r="A81" s="13"/>
      <c r="B81" s="56"/>
      <c r="C81" s="57"/>
      <c r="D81" s="405" t="str">
        <f>IF(OR('質問'!F90=1,'質問'!J90=1),"利用者の協力により、省エネ型のOA機器の採用率が高まると、省エネ効果は","")</f>
        <v>利用者の協力により、省エネ型のOA機器の採用率が高まると、省エネ効果は</v>
      </c>
      <c r="E81" s="55"/>
      <c r="F81" s="55"/>
      <c r="G81" s="55"/>
      <c r="H81" s="55"/>
      <c r="I81" s="55"/>
      <c r="J81" s="47"/>
    </row>
    <row r="82" spans="1:10" ht="13.5">
      <c r="A82" s="13"/>
      <c r="B82" s="408"/>
      <c r="C82" s="409"/>
      <c r="D82" s="279">
        <f>IF(OR('質問'!F90=1,'質問'!J90=1),'回答算出'!C126+'回答算出'!H126-D80,"")</f>
        <v>90</v>
      </c>
      <c r="E82" s="407" t="str">
        <f>IF(OR('質問'!F90=1,'質問'!J90=1),"ｋWh/年増えると予想されます。","")</f>
        <v>ｋWh/年増えると予想されます。</v>
      </c>
      <c r="F82" s="407"/>
      <c r="G82" s="407"/>
      <c r="H82" s="407"/>
      <c r="I82" s="407"/>
      <c r="J82" s="281"/>
    </row>
    <row r="83" spans="1:9" ht="13.5">
      <c r="A83" s="13"/>
      <c r="B83" s="13"/>
      <c r="C83" s="13"/>
      <c r="D83" s="13"/>
      <c r="E83" s="13"/>
      <c r="F83" s="13"/>
      <c r="G83" s="13"/>
      <c r="H83" s="13"/>
      <c r="I83" s="13"/>
    </row>
    <row r="84" spans="1:10" ht="13.5">
      <c r="A84" s="13"/>
      <c r="B84" s="405" t="s">
        <v>164</v>
      </c>
      <c r="C84" s="406"/>
      <c r="D84" s="405" t="s">
        <v>709</v>
      </c>
      <c r="E84" s="55"/>
      <c r="F84" s="55"/>
      <c r="G84" s="55"/>
      <c r="H84" s="55"/>
      <c r="I84" s="55"/>
      <c r="J84" s="47"/>
    </row>
    <row r="85" spans="1:10" ht="13.5">
      <c r="A85" s="13"/>
      <c r="B85" s="56"/>
      <c r="C85" s="57"/>
      <c r="D85" s="279">
        <f>'回答算出'!C134+'回答算出'!H134</f>
        <v>16704</v>
      </c>
      <c r="E85" s="407" t="s">
        <v>151</v>
      </c>
      <c r="F85" s="407"/>
      <c r="G85" s="407"/>
      <c r="H85" s="407"/>
      <c r="I85" s="407"/>
      <c r="J85" s="281"/>
    </row>
    <row r="86" spans="1:10" ht="13.5">
      <c r="A86" s="13"/>
      <c r="B86" s="56"/>
      <c r="C86" s="57"/>
      <c r="D86" s="405" t="str">
        <f>IF(OR('質問'!F95=1,'質問'!J95=1),"利用者の協力により、ノート型パソコン或いは液晶ディスプレイの採用率が高まると、省エネ効果は","")</f>
        <v>利用者の協力により、ノート型パソコン或いは液晶ディスプレイの採用率が高まると、省エネ効果は</v>
      </c>
      <c r="E86" s="55"/>
      <c r="F86" s="55"/>
      <c r="G86" s="55"/>
      <c r="H86" s="55"/>
      <c r="I86" s="55"/>
      <c r="J86" s="47"/>
    </row>
    <row r="87" spans="1:10" ht="13.5">
      <c r="A87" s="13"/>
      <c r="B87" s="408"/>
      <c r="C87" s="409"/>
      <c r="D87" s="279">
        <f>IF(OR('質問'!F95=1,'質問'!J95=1),'回答算出'!C135+'回答算出'!H135-D85,"")</f>
        <v>3456</v>
      </c>
      <c r="E87" s="407" t="str">
        <f>IF(OR('質問'!F95=1,'質問'!J95=1),"ｋWh/年増えると予想されます。","")</f>
        <v>ｋWh/年増えると予想されます。</v>
      </c>
      <c r="F87" s="407"/>
      <c r="G87" s="407"/>
      <c r="H87" s="407"/>
      <c r="I87" s="407"/>
      <c r="J87" s="281"/>
    </row>
    <row r="88" spans="1:9" ht="13.5">
      <c r="A88" s="13"/>
      <c r="B88" s="13"/>
      <c r="C88" s="13"/>
      <c r="D88" s="13"/>
      <c r="E88" s="13"/>
      <c r="F88" s="13"/>
      <c r="G88" s="13"/>
      <c r="H88" s="13"/>
      <c r="I88" s="13"/>
    </row>
    <row r="89" spans="1:10" ht="13.5">
      <c r="A89" s="13"/>
      <c r="B89" s="405" t="s">
        <v>165</v>
      </c>
      <c r="C89" s="406"/>
      <c r="D89" s="405" t="s">
        <v>80</v>
      </c>
      <c r="E89" s="55"/>
      <c r="F89" s="55"/>
      <c r="G89" s="55"/>
      <c r="H89" s="55"/>
      <c r="I89" s="55"/>
      <c r="J89" s="47"/>
    </row>
    <row r="90" spans="1:10" ht="13.5">
      <c r="A90" s="13"/>
      <c r="B90" s="56"/>
      <c r="C90" s="57"/>
      <c r="D90" s="279">
        <f>'回答算出'!C145+'回答算出'!H145</f>
        <v>3264</v>
      </c>
      <c r="E90" s="407" t="s">
        <v>151</v>
      </c>
      <c r="F90" s="407"/>
      <c r="G90" s="407"/>
      <c r="H90" s="407"/>
      <c r="I90" s="407"/>
      <c r="J90" s="281"/>
    </row>
    <row r="91" spans="1:10" ht="13.5">
      <c r="A91" s="13"/>
      <c r="B91" s="56"/>
      <c r="C91" s="57"/>
      <c r="D91" s="405" t="str">
        <f>IF(OR('質問'!F100=1,'質問'!J100=1),"利用者の協力により、コピー機等の自動OFF或いは省電力モードへの切替の採用率が高まると、省エネ効果は","")</f>
        <v>利用者の協力により、コピー機等の自動OFF或いは省電力モードへの切替の採用率が高まると、省エネ効果は</v>
      </c>
      <c r="E91" s="55"/>
      <c r="F91" s="55"/>
      <c r="G91" s="55"/>
      <c r="H91" s="55"/>
      <c r="I91" s="55"/>
      <c r="J91" s="283"/>
    </row>
    <row r="92" spans="1:10" ht="13.5">
      <c r="A92" s="13"/>
      <c r="B92" s="408"/>
      <c r="C92" s="409"/>
      <c r="D92" s="279">
        <f>IF(OR('質問'!F100=1,'質問'!J100=1),'回答算出'!C146+'回答算出'!H146-D90,"")</f>
        <v>576</v>
      </c>
      <c r="E92" s="407" t="str">
        <f>IF(OR('質問'!F100=1,'質問'!J100=1),"ｋWh/年増えると予想されます。","")</f>
        <v>ｋWh/年増えると予想されます。</v>
      </c>
      <c r="F92" s="407"/>
      <c r="G92" s="407"/>
      <c r="H92" s="407"/>
      <c r="I92" s="407"/>
      <c r="J92" s="281"/>
    </row>
    <row r="93" spans="1:9" ht="13.5">
      <c r="A93" s="13"/>
      <c r="B93" s="13"/>
      <c r="C93" s="29"/>
      <c r="D93" s="13"/>
      <c r="E93" s="13"/>
      <c r="F93" s="13"/>
      <c r="G93" s="13"/>
      <c r="H93" s="13"/>
      <c r="I93" s="13"/>
    </row>
    <row r="94" spans="1:9" ht="14.25">
      <c r="A94" s="258" t="s">
        <v>345</v>
      </c>
      <c r="B94" s="13"/>
      <c r="C94" s="29"/>
      <c r="D94" s="13"/>
      <c r="E94" s="13"/>
      <c r="F94" s="13"/>
      <c r="G94" s="13"/>
      <c r="H94" s="13"/>
      <c r="I94" s="13"/>
    </row>
    <row r="95" spans="1:9" ht="13.5">
      <c r="A95" s="13"/>
      <c r="B95" s="13"/>
      <c r="C95" s="13"/>
      <c r="D95" s="13"/>
      <c r="E95" s="13"/>
      <c r="F95" s="13"/>
      <c r="G95" s="13"/>
      <c r="H95" s="13"/>
      <c r="I95" s="13"/>
    </row>
    <row r="96" spans="1:10" ht="13.5">
      <c r="A96" s="13"/>
      <c r="B96" s="405" t="s">
        <v>166</v>
      </c>
      <c r="C96" s="406"/>
      <c r="D96" s="405" t="s">
        <v>710</v>
      </c>
      <c r="E96" s="55"/>
      <c r="F96" s="55"/>
      <c r="G96" s="55"/>
      <c r="H96" s="55"/>
      <c r="I96" s="55"/>
      <c r="J96" s="47"/>
    </row>
    <row r="97" spans="1:10" ht="13.5">
      <c r="A97" s="13"/>
      <c r="B97" s="56"/>
      <c r="C97" s="57"/>
      <c r="D97" s="279">
        <f>'回答算出'!C153</f>
        <v>34000</v>
      </c>
      <c r="E97" s="407" t="s">
        <v>155</v>
      </c>
      <c r="F97" s="407"/>
      <c r="G97" s="407"/>
      <c r="H97" s="407"/>
      <c r="I97" s="407"/>
      <c r="J97" s="281"/>
    </row>
    <row r="98" spans="2:10" ht="13.5">
      <c r="B98" s="56"/>
      <c r="C98" s="57"/>
      <c r="D98" s="405">
        <f>IF(OR('質問'!F106=1,'質問'!G105&gt;'回答算出'!E151),"施設管理により、省エネ活動の呼びかけが適切になされると、省エネ効果は","")</f>
      </c>
      <c r="E98" s="55"/>
      <c r="F98" s="52"/>
      <c r="G98" s="52"/>
      <c r="H98" s="52"/>
      <c r="I98" s="52"/>
      <c r="J98" s="47"/>
    </row>
    <row r="99" spans="2:10" ht="13.5">
      <c r="B99" s="408"/>
      <c r="C99" s="409"/>
      <c r="D99" s="279">
        <f>IF(OR('質問'!F106=1,'質問'!G105&gt;'回答算出'!E151),'回答算出'!C154-D97,"")</f>
      </c>
      <c r="E99" s="407">
        <f>IF(OR('質問'!F106=1,'質問'!G105&gt;'回答算出'!E151),"MJ/年増えると予想されます。","")</f>
      </c>
      <c r="F99" s="284"/>
      <c r="G99" s="284"/>
      <c r="H99" s="284"/>
      <c r="I99" s="284"/>
      <c r="J99" s="281"/>
    </row>
    <row r="100" spans="2:10" ht="13.5">
      <c r="B100" s="29"/>
      <c r="C100" s="29"/>
      <c r="D100" s="367"/>
      <c r="E100" s="29"/>
      <c r="F100" s="51"/>
      <c r="G100" s="51"/>
      <c r="H100" s="51"/>
      <c r="I100" s="51"/>
      <c r="J100" s="51"/>
    </row>
    <row r="101" spans="2:10" ht="13.5">
      <c r="B101" s="405" t="s">
        <v>167</v>
      </c>
      <c r="C101" s="406"/>
      <c r="D101" s="405" t="s">
        <v>346</v>
      </c>
      <c r="E101" s="55"/>
      <c r="F101" s="55"/>
      <c r="G101" s="55"/>
      <c r="H101" s="55"/>
      <c r="I101" s="55"/>
      <c r="J101" s="47"/>
    </row>
    <row r="102" spans="2:10" ht="13.5">
      <c r="B102" s="56"/>
      <c r="C102" s="57"/>
      <c r="D102" s="279">
        <f>'回答算出'!C164+'回答算出'!H164</f>
        <v>93.76744186046513</v>
      </c>
      <c r="E102" s="407" t="s">
        <v>155</v>
      </c>
      <c r="F102" s="407"/>
      <c r="G102" s="407"/>
      <c r="H102" s="407"/>
      <c r="I102" s="407"/>
      <c r="J102" s="281"/>
    </row>
    <row r="103" spans="2:10" ht="13.5">
      <c r="B103" s="56"/>
      <c r="C103" s="57"/>
      <c r="D103" s="405">
        <f>IF(OR('質問'!F110=1,'質問'!G110&gt;'回答算出'!E156),"施設管理により、最寄階への階段利用の呼びかけが適切になされると、省エネ効果は","")</f>
      </c>
      <c r="E103" s="55"/>
      <c r="F103" s="52"/>
      <c r="G103" s="52"/>
      <c r="H103" s="52"/>
      <c r="I103" s="52"/>
      <c r="J103" s="47"/>
    </row>
    <row r="104" spans="2:10" ht="13.5">
      <c r="B104" s="408"/>
      <c r="C104" s="409"/>
      <c r="D104" s="279">
        <f>IF(OR('質問'!F110=1,'質問'!G109&gt;'回答算出'!E162),'回答算出'!C165+'回答算出'!H165-D102,"")</f>
      </c>
      <c r="E104" s="407">
        <f>IF(OR('質問'!F110=1,'質問'!G109&gt;'回答算出'!E162),"MJ/年増えると予想されます。","")</f>
      </c>
      <c r="F104" s="284"/>
      <c r="G104" s="284"/>
      <c r="H104" s="284"/>
      <c r="I104" s="284"/>
      <c r="J104" s="281"/>
    </row>
    <row r="105" spans="2:5" ht="13.5">
      <c r="B105" s="13"/>
      <c r="C105" s="29"/>
      <c r="D105" s="410"/>
      <c r="E105" s="13"/>
    </row>
    <row r="106" spans="1:9" ht="13.5">
      <c r="A106" s="13"/>
      <c r="B106" s="13"/>
      <c r="C106" s="13"/>
      <c r="D106" s="13"/>
      <c r="E106" s="13"/>
      <c r="F106" s="13"/>
      <c r="G106" s="13"/>
      <c r="H106" s="13"/>
      <c r="I106" s="13"/>
    </row>
    <row r="107" ht="14.25">
      <c r="A107" s="4" t="s">
        <v>472</v>
      </c>
    </row>
    <row r="108" spans="1:9" ht="13.5">
      <c r="A108" s="13"/>
      <c r="B108" s="13" t="s">
        <v>473</v>
      </c>
      <c r="C108" s="13"/>
      <c r="D108" s="13"/>
      <c r="E108" s="13"/>
      <c r="F108" s="13"/>
      <c r="G108" s="13"/>
      <c r="H108" s="13"/>
      <c r="I108" s="13"/>
    </row>
    <row r="109" spans="1:9" ht="13.5">
      <c r="A109" s="13"/>
      <c r="B109" s="13"/>
      <c r="C109" s="13"/>
      <c r="D109" s="13"/>
      <c r="E109" s="13"/>
      <c r="F109" s="13"/>
      <c r="G109" s="13"/>
      <c r="H109" s="13"/>
      <c r="I109" s="13"/>
    </row>
    <row r="131" ht="11.25">
      <c r="J131" s="18"/>
    </row>
    <row r="134" ht="14.25">
      <c r="A134" s="4" t="s">
        <v>505</v>
      </c>
    </row>
    <row r="135" ht="16.5">
      <c r="B135" s="13" t="s">
        <v>168</v>
      </c>
    </row>
    <row r="136" ht="5.25" customHeight="1" thickBot="1"/>
    <row r="137" spans="3:10" ht="15.75">
      <c r="C137" s="584" t="s">
        <v>501</v>
      </c>
      <c r="D137" s="585"/>
      <c r="E137" s="585"/>
      <c r="F137" s="585"/>
      <c r="G137" s="586"/>
      <c r="H137" s="411">
        <f>'回答算出'!F281</f>
        <v>112368.8</v>
      </c>
      <c r="I137" s="412" t="s">
        <v>719</v>
      </c>
      <c r="J137" s="51"/>
    </row>
    <row r="138" spans="3:10" ht="15" customHeight="1">
      <c r="C138" s="587"/>
      <c r="D138" s="588"/>
      <c r="E138" s="588"/>
      <c r="F138" s="588"/>
      <c r="G138" s="589"/>
      <c r="H138" s="414">
        <f>'回答算出'!F282</f>
        <v>3453.2850731707317</v>
      </c>
      <c r="I138" s="337" t="s">
        <v>147</v>
      </c>
      <c r="J138" s="51"/>
    </row>
    <row r="139" spans="3:10" ht="15" customHeight="1" thickBot="1">
      <c r="C139" s="590"/>
      <c r="D139" s="591"/>
      <c r="E139" s="591"/>
      <c r="F139" s="591"/>
      <c r="G139" s="592"/>
      <c r="H139" s="415">
        <f>ROUND(H137*1.3,-4)</f>
        <v>150000</v>
      </c>
      <c r="I139" s="416" t="s">
        <v>169</v>
      </c>
      <c r="J139" s="51"/>
    </row>
    <row r="140" spans="5:10" ht="11.25">
      <c r="E140" s="10" t="s">
        <v>502</v>
      </c>
      <c r="H140" s="308">
        <f>'回答算出'!F283</f>
        <v>10962.809756097562</v>
      </c>
      <c r="I140" s="51" t="s">
        <v>504</v>
      </c>
      <c r="J140" s="51"/>
    </row>
    <row r="141" ht="11.25">
      <c r="E141" s="10" t="s">
        <v>362</v>
      </c>
    </row>
    <row r="144" ht="15" thickBot="1">
      <c r="A144" s="4" t="s">
        <v>506</v>
      </c>
    </row>
    <row r="145" spans="2:9" ht="14.25" thickBot="1">
      <c r="B145" s="13" t="s">
        <v>48</v>
      </c>
      <c r="H145" s="417" t="s">
        <v>170</v>
      </c>
      <c r="I145" s="309" t="str">
        <f>'回答算出'!C237</f>
        <v>普通</v>
      </c>
    </row>
    <row r="146" ht="11.25">
      <c r="E146" s="10" t="s">
        <v>625</v>
      </c>
    </row>
    <row r="147" ht="11.25">
      <c r="E147" s="310" t="s">
        <v>626</v>
      </c>
    </row>
    <row r="151" ht="11.25">
      <c r="F151" s="10" t="s">
        <v>171</v>
      </c>
    </row>
  </sheetData>
  <sheetProtection/>
  <mergeCells count="1">
    <mergeCell ref="C137:G139"/>
  </mergeCells>
  <printOptions horizontalCentered="1"/>
  <pageMargins left="0.5118110236220472" right="0.1968503937007874" top="0.35433070866141736" bottom="0.1968503937007874" header="0.1968503937007874" footer="0.4330708661417323"/>
  <pageSetup firstPageNumber="21" useFirstPageNumber="1" fitToHeight="1" fitToWidth="1" horizontalDpi="600" verticalDpi="600" orientation="portrait" paperSize="9" scale="43" r:id="rId2"/>
  <headerFooter alignWithMargins="0">
    <oddHeader>&amp;R記入例</oddHeader>
  </headerFooter>
  <rowBreaks count="2" manualBreakCount="2">
    <brk id="53" max="9" man="1"/>
    <brk id="105" max="9" man="1"/>
  </rowBreaks>
  <drawing r:id="rId1"/>
</worksheet>
</file>

<file path=xl/worksheets/sheet4.xml><?xml version="1.0" encoding="utf-8"?>
<worksheet xmlns="http://schemas.openxmlformats.org/spreadsheetml/2006/main" xmlns:r="http://schemas.openxmlformats.org/officeDocument/2006/relationships">
  <dimension ref="A1:J151"/>
  <sheetViews>
    <sheetView showGridLines="0" view="pageBreakPreview" zoomScaleNormal="85" zoomScaleSheetLayoutView="100" zoomScalePageLayoutView="0" workbookViewId="0" topLeftCell="A103">
      <selection activeCell="H109" sqref="H109"/>
    </sheetView>
  </sheetViews>
  <sheetFormatPr defaultColWidth="9.00390625" defaultRowHeight="13.5"/>
  <cols>
    <col min="1" max="3" width="2.625" style="371" customWidth="1"/>
    <col min="4" max="4" width="8.875" style="371" customWidth="1"/>
    <col min="5" max="5" width="14.125" style="371" bestFit="1" customWidth="1"/>
    <col min="6" max="6" width="19.875" style="371" customWidth="1"/>
    <col min="7" max="7" width="9.375" style="371" customWidth="1"/>
    <col min="8" max="8" width="9.00390625" style="371" customWidth="1"/>
    <col min="9" max="9" width="12.00390625" style="371" customWidth="1"/>
    <col min="10" max="10" width="18.50390625" style="371" customWidth="1"/>
    <col min="11" max="11" width="6.875" style="371" customWidth="1"/>
    <col min="12" max="16384" width="9.00390625" style="371" customWidth="1"/>
  </cols>
  <sheetData>
    <row r="1" ht="17.25">
      <c r="A1" s="3" t="s">
        <v>47</v>
      </c>
    </row>
    <row r="3" ht="13.5">
      <c r="B3" s="372" t="s">
        <v>470</v>
      </c>
    </row>
    <row r="4" ht="13.5">
      <c r="B4" s="372" t="s">
        <v>508</v>
      </c>
    </row>
    <row r="6" spans="1:9" ht="14.25">
      <c r="A6" s="373" t="s">
        <v>469</v>
      </c>
      <c r="B6" s="374"/>
      <c r="C6" s="374"/>
      <c r="D6" s="374"/>
      <c r="E6" s="374"/>
      <c r="F6" s="374"/>
      <c r="G6" s="374"/>
      <c r="H6" s="374"/>
      <c r="I6" s="374"/>
    </row>
    <row r="7" spans="1:9" ht="13.5">
      <c r="A7" s="374"/>
      <c r="B7" s="374"/>
      <c r="C7" s="374"/>
      <c r="D7" s="374"/>
      <c r="E7" s="374"/>
      <c r="F7" s="374"/>
      <c r="G7" s="374"/>
      <c r="H7" s="374"/>
      <c r="I7" s="374"/>
    </row>
    <row r="8" spans="1:10" ht="13.5">
      <c r="A8" s="374"/>
      <c r="B8" s="375" t="s">
        <v>125</v>
      </c>
      <c r="C8" s="376"/>
      <c r="D8" s="375" t="s">
        <v>648</v>
      </c>
      <c r="E8" s="377"/>
      <c r="F8" s="377"/>
      <c r="G8" s="377"/>
      <c r="H8" s="377"/>
      <c r="I8" s="377"/>
      <c r="J8" s="378"/>
    </row>
    <row r="9" spans="1:10" ht="13.5">
      <c r="A9" s="374"/>
      <c r="B9" s="379"/>
      <c r="C9" s="380"/>
      <c r="D9" s="278">
        <f>'回答算出'!C9+'回答算出'!H9</f>
        <v>1920</v>
      </c>
      <c r="E9" s="381" t="s">
        <v>126</v>
      </c>
      <c r="F9" s="381"/>
      <c r="G9" s="381"/>
      <c r="H9" s="381"/>
      <c r="I9" s="381"/>
      <c r="J9" s="382"/>
    </row>
    <row r="10" spans="1:10" ht="13.5">
      <c r="A10" s="374"/>
      <c r="B10" s="379"/>
      <c r="C10" s="380"/>
      <c r="D10" s="375" t="str">
        <f>IF(OR('質問'!F22=1,'質問'!J22=1),"利用者の協力により、昼休みの消灯の採用率が高まると、省エネ効果は","")</f>
        <v>利用者の協力により、昼休みの消灯の採用率が高まると、省エネ効果は</v>
      </c>
      <c r="E10" s="377"/>
      <c r="F10" s="377"/>
      <c r="G10" s="377"/>
      <c r="H10" s="377"/>
      <c r="I10" s="377"/>
      <c r="J10" s="378"/>
    </row>
    <row r="11" spans="1:10" ht="13.5">
      <c r="A11" s="374"/>
      <c r="B11" s="383"/>
      <c r="C11" s="384"/>
      <c r="D11" s="385">
        <f>IF(OR('質問'!F22=1,'質問'!J22=1),'回答算出'!C10+'回答算出'!H10-D9,"")</f>
        <v>480</v>
      </c>
      <c r="E11" s="381" t="str">
        <f>IF(OR('質問'!F22=1,'質問'!J22=1),"ｋWh/年増えると予想されます。","")</f>
        <v>ｋWh/年増えると予想されます。</v>
      </c>
      <c r="F11" s="381"/>
      <c r="G11" s="381"/>
      <c r="H11" s="381"/>
      <c r="I11" s="381"/>
      <c r="J11" s="382"/>
    </row>
    <row r="12" spans="1:10" ht="13.5">
      <c r="A12" s="374"/>
      <c r="B12" s="374"/>
      <c r="C12" s="374"/>
      <c r="D12" s="374"/>
      <c r="E12" s="374"/>
      <c r="F12" s="374"/>
      <c r="G12" s="374"/>
      <c r="H12" s="374"/>
      <c r="I12" s="374"/>
      <c r="J12" s="386"/>
    </row>
    <row r="13" spans="1:10" ht="13.5">
      <c r="A13" s="374"/>
      <c r="B13" s="375" t="s">
        <v>127</v>
      </c>
      <c r="C13" s="376"/>
      <c r="D13" s="375" t="s">
        <v>687</v>
      </c>
      <c r="E13" s="377"/>
      <c r="F13" s="377"/>
      <c r="G13" s="377"/>
      <c r="H13" s="377"/>
      <c r="I13" s="377"/>
      <c r="J13" s="378"/>
    </row>
    <row r="14" spans="1:10" ht="13.5">
      <c r="A14" s="374"/>
      <c r="B14" s="379"/>
      <c r="C14" s="380"/>
      <c r="D14" s="278">
        <f>'回答算出'!C17+'回答算出'!H17</f>
        <v>3840</v>
      </c>
      <c r="E14" s="381" t="s">
        <v>128</v>
      </c>
      <c r="F14" s="381"/>
      <c r="G14" s="381"/>
      <c r="H14" s="381"/>
      <c r="I14" s="381"/>
      <c r="J14" s="382"/>
    </row>
    <row r="15" spans="1:10" ht="13.5">
      <c r="A15" s="374"/>
      <c r="B15" s="379"/>
      <c r="C15" s="380"/>
      <c r="D15" s="375" t="str">
        <f>IF(OR('質問'!F27=1,'質問'!J27=1),"利用者の協力により、窓際消灯の採用率が高まると、省エネ効果は","")</f>
        <v>利用者の協力により、窓際消灯の採用率が高まると、省エネ効果は</v>
      </c>
      <c r="E15" s="377"/>
      <c r="F15" s="377"/>
      <c r="G15" s="377"/>
      <c r="H15" s="377"/>
      <c r="I15" s="377"/>
      <c r="J15" s="378"/>
    </row>
    <row r="16" spans="1:10" ht="13.5">
      <c r="A16" s="374"/>
      <c r="B16" s="383"/>
      <c r="C16" s="384"/>
      <c r="D16" s="385">
        <f>IF(OR('質問'!F27=1,'質問'!J27=1),'回答算出'!C18+'回答算出'!H18-D14,"")</f>
        <v>720</v>
      </c>
      <c r="E16" s="381" t="str">
        <f>IF(OR('質問'!F27=1,'質問'!J27=1),"ｋWh/年増えると予想されます。","")</f>
        <v>ｋWh/年増えると予想されます。</v>
      </c>
      <c r="F16" s="381"/>
      <c r="G16" s="381"/>
      <c r="H16" s="381"/>
      <c r="I16" s="381"/>
      <c r="J16" s="382"/>
    </row>
    <row r="17" spans="1:10" ht="13.5">
      <c r="A17" s="374"/>
      <c r="B17" s="374"/>
      <c r="C17" s="374"/>
      <c r="D17" s="374"/>
      <c r="E17" s="374"/>
      <c r="F17" s="374"/>
      <c r="G17" s="374"/>
      <c r="H17" s="374"/>
      <c r="I17" s="374"/>
      <c r="J17" s="386"/>
    </row>
    <row r="18" spans="1:10" ht="13.5">
      <c r="A18" s="374"/>
      <c r="B18" s="375" t="s">
        <v>129</v>
      </c>
      <c r="C18" s="376"/>
      <c r="D18" s="375" t="s">
        <v>688</v>
      </c>
      <c r="E18" s="377"/>
      <c r="F18" s="377"/>
      <c r="G18" s="377"/>
      <c r="H18" s="377"/>
      <c r="I18" s="377"/>
      <c r="J18" s="378"/>
    </row>
    <row r="19" spans="1:10" ht="13.5">
      <c r="A19" s="374"/>
      <c r="B19" s="379"/>
      <c r="C19" s="380"/>
      <c r="D19" s="278">
        <f>'回答算出'!C27+'回答算出'!H27</f>
        <v>975</v>
      </c>
      <c r="E19" s="381" t="s">
        <v>128</v>
      </c>
      <c r="F19" s="381"/>
      <c r="G19" s="381"/>
      <c r="H19" s="381"/>
      <c r="I19" s="381"/>
      <c r="J19" s="382"/>
    </row>
    <row r="20" spans="1:10" ht="13.5">
      <c r="A20" s="374"/>
      <c r="B20" s="379"/>
      <c r="C20" s="380"/>
      <c r="D20" s="375" t="str">
        <f>IF(OR('質問'!F33=1,'質問'!J33=1),"施設管理により、廊下間引き点灯の採用率が高まると、省エネ効果は","")</f>
        <v>施設管理により、廊下間引き点灯の採用率が高まると、省エネ効果は</v>
      </c>
      <c r="E20" s="377"/>
      <c r="F20" s="377"/>
      <c r="G20" s="377"/>
      <c r="H20" s="377"/>
      <c r="I20" s="377"/>
      <c r="J20" s="378"/>
    </row>
    <row r="21" spans="1:10" ht="13.5">
      <c r="A21" s="374"/>
      <c r="B21" s="383"/>
      <c r="C21" s="384"/>
      <c r="D21" s="385">
        <f>IF(OR('質問'!F33=1,'質問'!J33=1),'回答算出'!C28+'回答算出'!H28-D19,"")</f>
        <v>525</v>
      </c>
      <c r="E21" s="381" t="str">
        <f>IF(OR('質問'!F33=1,'質問'!J33=1),"ｋWh/年増えると予想されます。","")</f>
        <v>ｋWh/年増えると予想されます。</v>
      </c>
      <c r="F21" s="381"/>
      <c r="G21" s="381"/>
      <c r="H21" s="381"/>
      <c r="I21" s="381"/>
      <c r="J21" s="382"/>
    </row>
    <row r="22" spans="1:10" ht="13.5">
      <c r="A22" s="374"/>
      <c r="B22" s="374"/>
      <c r="C22" s="374"/>
      <c r="D22" s="374"/>
      <c r="E22" s="374"/>
      <c r="F22" s="374"/>
      <c r="G22" s="374"/>
      <c r="H22" s="374"/>
      <c r="I22" s="374"/>
      <c r="J22" s="386"/>
    </row>
    <row r="23" spans="1:10" ht="13.5">
      <c r="A23" s="374"/>
      <c r="B23" s="375" t="s">
        <v>130</v>
      </c>
      <c r="C23" s="376"/>
      <c r="D23" s="375" t="s">
        <v>689</v>
      </c>
      <c r="E23" s="377"/>
      <c r="F23" s="377"/>
      <c r="G23" s="377"/>
      <c r="H23" s="377"/>
      <c r="I23" s="377"/>
      <c r="J23" s="378"/>
    </row>
    <row r="24" spans="1:10" ht="13.5">
      <c r="A24" s="374"/>
      <c r="B24" s="379"/>
      <c r="C24" s="380"/>
      <c r="D24" s="278">
        <f>'回答算出'!C37+'回答算出'!H37</f>
        <v>96</v>
      </c>
      <c r="E24" s="381" t="s">
        <v>128</v>
      </c>
      <c r="F24" s="381"/>
      <c r="G24" s="381"/>
      <c r="H24" s="381"/>
      <c r="I24" s="381"/>
      <c r="J24" s="382"/>
    </row>
    <row r="25" spans="1:10" ht="13.5">
      <c r="A25" s="374"/>
      <c r="B25" s="379"/>
      <c r="C25" s="380"/>
      <c r="D25" s="375" t="str">
        <f>IF(OR('質問'!F38=1,'質問'!J38=1),"施設管理により、倉庫などの消灯の採用率が高まると、省エネ効果は","")</f>
        <v>施設管理により、倉庫などの消灯の採用率が高まると、省エネ効果は</v>
      </c>
      <c r="E25" s="377"/>
      <c r="F25" s="377"/>
      <c r="G25" s="377"/>
      <c r="H25" s="377"/>
      <c r="I25" s="377"/>
      <c r="J25" s="378"/>
    </row>
    <row r="26" spans="1:10" ht="13.5">
      <c r="A26" s="374"/>
      <c r="B26" s="383"/>
      <c r="C26" s="384"/>
      <c r="D26" s="385">
        <f>IF(OR('質問'!F38=1,'質問'!J38=1),'回答算出'!C38+'回答算出'!H38-D24,"")</f>
        <v>18</v>
      </c>
      <c r="E26" s="381" t="str">
        <f>IF(OR('質問'!F38=1,'質問'!J38=1),"ｋWh/年増えると予想されます。","")</f>
        <v>ｋWh/年増えると予想されます。</v>
      </c>
      <c r="F26" s="381"/>
      <c r="G26" s="381"/>
      <c r="H26" s="381"/>
      <c r="I26" s="381"/>
      <c r="J26" s="382"/>
    </row>
    <row r="27" spans="1:10" ht="13.5">
      <c r="A27" s="374"/>
      <c r="B27" s="374"/>
      <c r="C27" s="374"/>
      <c r="D27" s="374"/>
      <c r="E27" s="374"/>
      <c r="F27" s="374"/>
      <c r="G27" s="374"/>
      <c r="H27" s="374"/>
      <c r="I27" s="374"/>
      <c r="J27" s="386"/>
    </row>
    <row r="28" spans="1:10" ht="13.5">
      <c r="A28" s="374"/>
      <c r="B28" s="375" t="s">
        <v>131</v>
      </c>
      <c r="C28" s="376"/>
      <c r="D28" s="375" t="s">
        <v>700</v>
      </c>
      <c r="E28" s="377"/>
      <c r="F28" s="377"/>
      <c r="G28" s="377"/>
      <c r="H28" s="377"/>
      <c r="I28" s="377"/>
      <c r="J28" s="378"/>
    </row>
    <row r="29" spans="1:10" ht="13.5">
      <c r="A29" s="374"/>
      <c r="B29" s="379"/>
      <c r="C29" s="380"/>
      <c r="D29" s="278">
        <f>'回答算出'!C47+'回答算出'!H47</f>
        <v>192</v>
      </c>
      <c r="E29" s="381" t="s">
        <v>128</v>
      </c>
      <c r="F29" s="381"/>
      <c r="G29" s="381"/>
      <c r="H29" s="381"/>
      <c r="I29" s="381"/>
      <c r="J29" s="382"/>
    </row>
    <row r="30" spans="1:10" ht="13.5">
      <c r="A30" s="374"/>
      <c r="B30" s="379"/>
      <c r="C30" s="380"/>
      <c r="D30" s="375" t="str">
        <f>IF(OR('質問'!F43=1,'質問'!J43=1),"利用者の協力により、トイレの消灯の採用率が高まると、省エネ効果は","")</f>
        <v>利用者の協力により、トイレの消灯の採用率が高まると、省エネ効果は</v>
      </c>
      <c r="E30" s="377"/>
      <c r="F30" s="377"/>
      <c r="G30" s="377"/>
      <c r="H30" s="377"/>
      <c r="I30" s="377"/>
      <c r="J30" s="378"/>
    </row>
    <row r="31" spans="1:10" ht="13.5">
      <c r="A31" s="374"/>
      <c r="B31" s="383"/>
      <c r="C31" s="384"/>
      <c r="D31" s="385">
        <f>IF(OR('質問'!F43=1,'質問'!J43=1),'回答算出'!C48+'回答算出'!H48-D29,"")</f>
        <v>36</v>
      </c>
      <c r="E31" s="381" t="str">
        <f>IF(OR('質問'!F43=1,'質問'!J43=1),"ｋWh/年増えると予想されます。","")</f>
        <v>ｋWh/年増えると予想されます。</v>
      </c>
      <c r="F31" s="381"/>
      <c r="G31" s="381"/>
      <c r="H31" s="381"/>
      <c r="I31" s="381"/>
      <c r="J31" s="382"/>
    </row>
    <row r="32" spans="1:10" ht="13.5">
      <c r="A32" s="374"/>
      <c r="B32" s="374"/>
      <c r="C32" s="374"/>
      <c r="D32" s="374"/>
      <c r="E32" s="374"/>
      <c r="F32" s="374"/>
      <c r="G32" s="374"/>
      <c r="H32" s="374"/>
      <c r="I32" s="374"/>
      <c r="J32" s="386"/>
    </row>
    <row r="33" spans="1:10" ht="14.25">
      <c r="A33" s="373" t="s">
        <v>509</v>
      </c>
      <c r="B33" s="374"/>
      <c r="C33" s="374"/>
      <c r="D33" s="374"/>
      <c r="E33" s="374"/>
      <c r="F33" s="374"/>
      <c r="G33" s="374"/>
      <c r="H33" s="374"/>
      <c r="I33" s="374"/>
      <c r="J33" s="386"/>
    </row>
    <row r="34" spans="1:10" ht="13.5">
      <c r="A34" s="374"/>
      <c r="B34" s="374"/>
      <c r="C34" s="374"/>
      <c r="D34" s="374"/>
      <c r="E34" s="374"/>
      <c r="F34" s="374"/>
      <c r="G34" s="374"/>
      <c r="H34" s="374"/>
      <c r="I34" s="374"/>
      <c r="J34" s="386"/>
    </row>
    <row r="35" spans="1:10" ht="13.5">
      <c r="A35" s="374"/>
      <c r="B35" s="375" t="s">
        <v>132</v>
      </c>
      <c r="C35" s="376"/>
      <c r="D35" s="375" t="s">
        <v>701</v>
      </c>
      <c r="E35" s="377"/>
      <c r="F35" s="377"/>
      <c r="G35" s="377"/>
      <c r="H35" s="377"/>
      <c r="I35" s="377"/>
      <c r="J35" s="378"/>
    </row>
    <row r="36" spans="1:10" ht="13.5">
      <c r="A36" s="374"/>
      <c r="B36" s="379"/>
      <c r="C36" s="380"/>
      <c r="D36" s="278">
        <f>'回答算出'!C56+'回答算出'!H56</f>
        <v>35840</v>
      </c>
      <c r="E36" s="381" t="s">
        <v>133</v>
      </c>
      <c r="F36" s="381"/>
      <c r="G36" s="381"/>
      <c r="H36" s="381"/>
      <c r="I36" s="381"/>
      <c r="J36" s="382"/>
    </row>
    <row r="37" spans="1:10" ht="13.5">
      <c r="A37" s="374"/>
      <c r="B37" s="379"/>
      <c r="C37" s="380"/>
      <c r="D37" s="375" t="str">
        <f>IF(OR('質問'!F49=1,'質問'!J49=1),"利用者の協力により、冷房設定温度28℃の採用率が高まると、省エネ効果は","")</f>
        <v>利用者の協力により、冷房設定温度28℃の採用率が高まると、省エネ効果は</v>
      </c>
      <c r="E37" s="377"/>
      <c r="F37" s="377"/>
      <c r="G37" s="377"/>
      <c r="H37" s="377"/>
      <c r="I37" s="377"/>
      <c r="J37" s="378"/>
    </row>
    <row r="38" spans="1:10" ht="13.5">
      <c r="A38" s="374"/>
      <c r="B38" s="383"/>
      <c r="C38" s="384"/>
      <c r="D38" s="385">
        <f>IF(OR('質問'!F49=1,'質問'!J49=1),'回答算出'!C57+'回答算出'!H57-D36,"")</f>
        <v>8960</v>
      </c>
      <c r="E38" s="381" t="str">
        <f>IF(OR('質問'!F49=1,'質問'!J49=1),"MJ/年増えると予想されます。","")</f>
        <v>MJ/年増えると予想されます。</v>
      </c>
      <c r="F38" s="381"/>
      <c r="G38" s="381"/>
      <c r="H38" s="381"/>
      <c r="I38" s="381"/>
      <c r="J38" s="382"/>
    </row>
    <row r="39" spans="1:10" ht="13.5">
      <c r="A39" s="374"/>
      <c r="B39" s="374"/>
      <c r="C39" s="374"/>
      <c r="D39" s="374"/>
      <c r="E39" s="374"/>
      <c r="F39" s="374"/>
      <c r="G39" s="374"/>
      <c r="H39" s="374"/>
      <c r="I39" s="374"/>
      <c r="J39" s="386"/>
    </row>
    <row r="40" spans="1:10" ht="13.5">
      <c r="A40" s="374"/>
      <c r="B40" s="375" t="s">
        <v>134</v>
      </c>
      <c r="C40" s="376"/>
      <c r="D40" s="375" t="s">
        <v>702</v>
      </c>
      <c r="E40" s="377"/>
      <c r="F40" s="377"/>
      <c r="G40" s="377"/>
      <c r="H40" s="377"/>
      <c r="I40" s="377"/>
      <c r="J40" s="378"/>
    </row>
    <row r="41" spans="1:10" ht="13.5">
      <c r="A41" s="374"/>
      <c r="B41" s="379"/>
      <c r="C41" s="380"/>
      <c r="D41" s="278">
        <f>'回答算出'!C65+'回答算出'!H65</f>
        <v>24000</v>
      </c>
      <c r="E41" s="381" t="s">
        <v>760</v>
      </c>
      <c r="F41" s="381"/>
      <c r="G41" s="381"/>
      <c r="H41" s="381"/>
      <c r="I41" s="381"/>
      <c r="J41" s="382"/>
    </row>
    <row r="42" spans="1:10" ht="13.5">
      <c r="A42" s="374"/>
      <c r="B42" s="379"/>
      <c r="C42" s="380"/>
      <c r="D42" s="375" t="str">
        <f>IF(OR('質問'!F54=1,'質問'!J54=1),"利用者の協力により、冷房設定温度20℃の採用率が高まると、省エネ効果は","")</f>
        <v>利用者の協力により、冷房設定温度20℃の採用率が高まると、省エネ効果は</v>
      </c>
      <c r="E42" s="377"/>
      <c r="F42" s="377"/>
      <c r="G42" s="377"/>
      <c r="H42" s="377"/>
      <c r="I42" s="377"/>
      <c r="J42" s="378"/>
    </row>
    <row r="43" spans="1:10" ht="13.5">
      <c r="A43" s="374"/>
      <c r="B43" s="383"/>
      <c r="C43" s="384"/>
      <c r="D43" s="385">
        <f>IF(OR('質問'!F54=1,'質問'!J54=1),'回答算出'!C66+'回答算出'!H66-D41,"")</f>
        <v>6000</v>
      </c>
      <c r="E43" s="381" t="str">
        <f>IF(OR('質問'!F54=1,'質問'!J54=1),"MJ/年増えると予想されます。","")</f>
        <v>MJ/年増えると予想されます。</v>
      </c>
      <c r="F43" s="381"/>
      <c r="G43" s="381"/>
      <c r="H43" s="381"/>
      <c r="I43" s="381"/>
      <c r="J43" s="382"/>
    </row>
    <row r="44" spans="1:10" ht="13.5">
      <c r="A44" s="374"/>
      <c r="B44" s="374"/>
      <c r="C44" s="374"/>
      <c r="D44" s="374"/>
      <c r="E44" s="374"/>
      <c r="F44" s="374"/>
      <c r="G44" s="374"/>
      <c r="H44" s="374"/>
      <c r="I44" s="374"/>
      <c r="J44" s="386"/>
    </row>
    <row r="45" spans="1:10" ht="13.5">
      <c r="A45" s="374"/>
      <c r="B45" s="375" t="s">
        <v>135</v>
      </c>
      <c r="C45" s="376"/>
      <c r="D45" s="375" t="s">
        <v>703</v>
      </c>
      <c r="E45" s="377"/>
      <c r="F45" s="377"/>
      <c r="G45" s="377"/>
      <c r="H45" s="377"/>
      <c r="I45" s="377"/>
      <c r="J45" s="378"/>
    </row>
    <row r="46" spans="1:10" ht="13.5">
      <c r="A46" s="374"/>
      <c r="B46" s="379"/>
      <c r="C46" s="380"/>
      <c r="D46" s="278">
        <f>'回答算出'!C73+'回答算出'!H73</f>
        <v>8600</v>
      </c>
      <c r="E46" s="381" t="s">
        <v>760</v>
      </c>
      <c r="F46" s="381"/>
      <c r="G46" s="381"/>
      <c r="H46" s="381"/>
      <c r="I46" s="381"/>
      <c r="J46" s="382"/>
    </row>
    <row r="47" spans="1:10" ht="13.5">
      <c r="A47" s="374"/>
      <c r="B47" s="379"/>
      <c r="C47" s="380"/>
      <c r="D47" s="375" t="str">
        <f>IF(OR('質問'!F59=1,'質問'!J59=1),"利用者の協力により、空調停止の採用率が高まると、省エネ効果は","")</f>
        <v>利用者の協力により、空調停止の採用率が高まると、省エネ効果は</v>
      </c>
      <c r="E47" s="377"/>
      <c r="F47" s="377"/>
      <c r="G47" s="377"/>
      <c r="H47" s="377"/>
      <c r="I47" s="377"/>
      <c r="J47" s="378"/>
    </row>
    <row r="48" spans="1:10" ht="13.5">
      <c r="A48" s="374"/>
      <c r="B48" s="383"/>
      <c r="C48" s="384"/>
      <c r="D48" s="385">
        <f>IF(OR('質問'!F59=1,'質問'!J59=1),'回答算出'!C74+'回答算出'!H74-D46,"")</f>
        <v>12900</v>
      </c>
      <c r="E48" s="381" t="str">
        <f>IF(OR('質問'!F59=1,'質問'!J59=1),"MJ/年増えると予想されます。","")</f>
        <v>MJ/年増えると予想されます。</v>
      </c>
      <c r="F48" s="381"/>
      <c r="G48" s="381"/>
      <c r="H48" s="381"/>
      <c r="I48" s="381"/>
      <c r="J48" s="382"/>
    </row>
    <row r="49" spans="1:10" ht="13.5">
      <c r="A49" s="374"/>
      <c r="B49" s="374"/>
      <c r="C49" s="374"/>
      <c r="D49" s="374"/>
      <c r="E49" s="374"/>
      <c r="F49" s="374"/>
      <c r="G49" s="374"/>
      <c r="H49" s="374"/>
      <c r="I49" s="374"/>
      <c r="J49" s="386"/>
    </row>
    <row r="50" spans="1:10" ht="13.5">
      <c r="A50" s="374"/>
      <c r="B50" s="375" t="s">
        <v>136</v>
      </c>
      <c r="C50" s="376"/>
      <c r="D50" s="375" t="s">
        <v>704</v>
      </c>
      <c r="E50" s="377"/>
      <c r="F50" s="377"/>
      <c r="G50" s="377"/>
      <c r="H50" s="377"/>
      <c r="I50" s="377"/>
      <c r="J50" s="378"/>
    </row>
    <row r="51" spans="1:10" ht="13.5">
      <c r="A51" s="374"/>
      <c r="B51" s="379"/>
      <c r="C51" s="380"/>
      <c r="D51" s="278">
        <f>'回答算出'!C80+'回答算出'!H80</f>
        <v>20640</v>
      </c>
      <c r="E51" s="381" t="s">
        <v>760</v>
      </c>
      <c r="F51" s="381"/>
      <c r="G51" s="381"/>
      <c r="H51" s="381"/>
      <c r="I51" s="381"/>
      <c r="J51" s="382"/>
    </row>
    <row r="52" spans="1:10" ht="13.5">
      <c r="A52" s="374"/>
      <c r="B52" s="379"/>
      <c r="C52" s="380"/>
      <c r="D52" s="375" t="str">
        <f>IF(OR('質問'!F64=1,'質問'!J64=1),"利用者の協力により、空調時の窓/扉の閉鎖の採用率が高まると、省エネ効果は","")</f>
        <v>利用者の協力により、空調時の窓/扉の閉鎖の採用率が高まると、省エネ効果は</v>
      </c>
      <c r="E52" s="377"/>
      <c r="F52" s="377"/>
      <c r="G52" s="377"/>
      <c r="H52" s="377"/>
      <c r="I52" s="377"/>
      <c r="J52" s="378"/>
    </row>
    <row r="53" spans="1:10" ht="13.5">
      <c r="A53" s="374"/>
      <c r="B53" s="383"/>
      <c r="C53" s="384"/>
      <c r="D53" s="385">
        <f>IF(OR('質問'!F64=1,'質問'!J64=1),'回答算出'!C81+'回答算出'!H81-D51,"")</f>
        <v>5160</v>
      </c>
      <c r="E53" s="381" t="str">
        <f>IF(OR('質問'!F64=1,'質問'!J64=1),"MJ/年増えると予想されます。","")</f>
        <v>MJ/年増えると予想されます。</v>
      </c>
      <c r="F53" s="381"/>
      <c r="G53" s="381"/>
      <c r="H53" s="381"/>
      <c r="I53" s="381"/>
      <c r="J53" s="387"/>
    </row>
    <row r="54" spans="1:10" ht="13.5">
      <c r="A54" s="374"/>
      <c r="B54" s="374"/>
      <c r="C54" s="374"/>
      <c r="D54" s="374"/>
      <c r="E54" s="374"/>
      <c r="F54" s="374"/>
      <c r="G54" s="374"/>
      <c r="H54" s="374"/>
      <c r="I54" s="374"/>
      <c r="J54" s="386"/>
    </row>
    <row r="55" spans="1:10" ht="14.25">
      <c r="A55" s="373" t="s">
        <v>343</v>
      </c>
      <c r="B55" s="374"/>
      <c r="C55" s="374"/>
      <c r="D55" s="374"/>
      <c r="E55" s="374"/>
      <c r="F55" s="374"/>
      <c r="G55" s="374"/>
      <c r="H55" s="374"/>
      <c r="I55" s="374"/>
      <c r="J55" s="386"/>
    </row>
    <row r="56" spans="1:10" ht="13.5">
      <c r="A56" s="374"/>
      <c r="B56" s="374"/>
      <c r="C56" s="374"/>
      <c r="D56" s="374"/>
      <c r="E56" s="374"/>
      <c r="F56" s="374"/>
      <c r="G56" s="374"/>
      <c r="H56" s="374"/>
      <c r="I56" s="374"/>
      <c r="J56" s="386"/>
    </row>
    <row r="57" spans="1:10" ht="13.5">
      <c r="A57" s="374"/>
      <c r="B57" s="375" t="s">
        <v>137</v>
      </c>
      <c r="C57" s="376"/>
      <c r="D57" s="375" t="s">
        <v>705</v>
      </c>
      <c r="E57" s="377"/>
      <c r="F57" s="377"/>
      <c r="G57" s="377"/>
      <c r="H57" s="377"/>
      <c r="I57" s="377"/>
      <c r="J57" s="378"/>
    </row>
    <row r="58" spans="1:10" ht="13.5">
      <c r="A58" s="374"/>
      <c r="B58" s="379"/>
      <c r="C58" s="380"/>
      <c r="D58" s="278">
        <f>'回答算出'!C87+'回答算出'!H87</f>
        <v>17920</v>
      </c>
      <c r="E58" s="381" t="s">
        <v>760</v>
      </c>
      <c r="F58" s="381"/>
      <c r="G58" s="381"/>
      <c r="H58" s="381"/>
      <c r="I58" s="381"/>
      <c r="J58" s="382"/>
    </row>
    <row r="59" spans="1:10" ht="13.5">
      <c r="A59" s="374"/>
      <c r="B59" s="379"/>
      <c r="C59" s="380"/>
      <c r="D59" s="375" t="str">
        <f>IF(OR('質問'!F70=1,'質問'!J70=1),"利用者の協力により、冷房時のブラインドの閉鎖の採用率が高まると、省エネ効果は","")</f>
        <v>利用者の協力により、冷房時のブラインドの閉鎖の採用率が高まると、省エネ効果は</v>
      </c>
      <c r="E59" s="377"/>
      <c r="F59" s="377"/>
      <c r="G59" s="377"/>
      <c r="H59" s="377"/>
      <c r="I59" s="377"/>
      <c r="J59" s="378"/>
    </row>
    <row r="60" spans="1:10" ht="13.5">
      <c r="A60" s="374"/>
      <c r="B60" s="383"/>
      <c r="C60" s="384"/>
      <c r="D60" s="385">
        <f>IF(OR('質問'!F70=1,'質問'!J70=1),'回答算出'!C88+'回答算出'!H88-D58,"")</f>
        <v>3360</v>
      </c>
      <c r="E60" s="381" t="str">
        <f>IF(OR('質問'!F70=1,'質問'!J70=1),"MJ/年増えると予想されます。","")</f>
        <v>MJ/年増えると予想されます。</v>
      </c>
      <c r="F60" s="381"/>
      <c r="G60" s="381"/>
      <c r="H60" s="381"/>
      <c r="I60" s="381"/>
      <c r="J60" s="382"/>
    </row>
    <row r="61" spans="1:10" ht="13.5">
      <c r="A61" s="374"/>
      <c r="B61" s="374"/>
      <c r="C61" s="374"/>
      <c r="D61" s="374"/>
      <c r="E61" s="374"/>
      <c r="F61" s="374"/>
      <c r="G61" s="374"/>
      <c r="H61" s="374"/>
      <c r="I61" s="374"/>
      <c r="J61" s="386"/>
    </row>
    <row r="62" spans="1:10" ht="13.5">
      <c r="A62" s="374"/>
      <c r="B62" s="375" t="s">
        <v>138</v>
      </c>
      <c r="C62" s="376"/>
      <c r="D62" s="375" t="s">
        <v>706</v>
      </c>
      <c r="E62" s="377"/>
      <c r="F62" s="377"/>
      <c r="G62" s="377"/>
      <c r="H62" s="377"/>
      <c r="I62" s="377"/>
      <c r="J62" s="378"/>
    </row>
    <row r="63" spans="1:10" ht="13.5">
      <c r="A63" s="374"/>
      <c r="B63" s="379"/>
      <c r="C63" s="380"/>
      <c r="D63" s="278">
        <f>'回答算出'!C94+'回答算出'!H94</f>
        <v>4480</v>
      </c>
      <c r="E63" s="381" t="s">
        <v>760</v>
      </c>
      <c r="F63" s="381"/>
      <c r="G63" s="381"/>
      <c r="H63" s="381"/>
      <c r="I63" s="381"/>
      <c r="J63" s="382"/>
    </row>
    <row r="64" spans="1:10" ht="13.5">
      <c r="A64" s="374"/>
      <c r="B64" s="379"/>
      <c r="C64" s="380"/>
      <c r="D64" s="375" t="str">
        <f>IF(OR('質問'!F75=1,'質問'!J75=1),"利用者の協力により、退庁時のブラインドの閉鎖の採用率が高まると、省エネ効果は","")</f>
        <v>利用者の協力により、退庁時のブラインドの閉鎖の採用率が高まると、省エネ効果は</v>
      </c>
      <c r="E64" s="377"/>
      <c r="F64" s="377"/>
      <c r="G64" s="377"/>
      <c r="H64" s="377"/>
      <c r="I64" s="377"/>
      <c r="J64" s="378"/>
    </row>
    <row r="65" spans="1:10" ht="13.5">
      <c r="A65" s="374"/>
      <c r="B65" s="383"/>
      <c r="C65" s="384"/>
      <c r="D65" s="385">
        <f>IF(OR('質問'!F75=1,'質問'!J75=1),'回答算出'!C95+'回答算出'!H95-D63,"")</f>
        <v>840</v>
      </c>
      <c r="E65" s="381" t="str">
        <f>IF(OR('質問'!F75=1,'質問'!J75=1),"MJ/年増えると予想されます。","")</f>
        <v>MJ/年増えると予想されます。</v>
      </c>
      <c r="F65" s="381"/>
      <c r="G65" s="381"/>
      <c r="H65" s="381"/>
      <c r="I65" s="381"/>
      <c r="J65" s="382"/>
    </row>
    <row r="66" spans="1:9" ht="13.5">
      <c r="A66" s="374"/>
      <c r="B66" s="374"/>
      <c r="C66" s="374"/>
      <c r="D66" s="374"/>
      <c r="E66" s="374"/>
      <c r="F66" s="374"/>
      <c r="G66" s="374"/>
      <c r="H66" s="374"/>
      <c r="I66" s="374"/>
    </row>
    <row r="67" spans="1:10" ht="13.5">
      <c r="A67" s="374"/>
      <c r="B67" s="375" t="s">
        <v>139</v>
      </c>
      <c r="C67" s="376"/>
      <c r="D67" s="375" t="s">
        <v>707</v>
      </c>
      <c r="E67" s="377"/>
      <c r="F67" s="377"/>
      <c r="G67" s="377"/>
      <c r="H67" s="377"/>
      <c r="I67" s="377"/>
      <c r="J67" s="378"/>
    </row>
    <row r="68" spans="1:10" ht="13.5">
      <c r="A68" s="374"/>
      <c r="B68" s="379"/>
      <c r="C68" s="380"/>
      <c r="D68" s="385">
        <f>'回答算出'!C104+'回答算出'!H104</f>
        <v>240</v>
      </c>
      <c r="E68" s="381" t="s">
        <v>128</v>
      </c>
      <c r="F68" s="381"/>
      <c r="G68" s="381"/>
      <c r="H68" s="381"/>
      <c r="I68" s="381"/>
      <c r="J68" s="382"/>
    </row>
    <row r="69" spans="1:10" ht="13.5">
      <c r="A69" s="374"/>
      <c r="B69" s="379"/>
      <c r="C69" s="380"/>
      <c r="D69" s="375" t="str">
        <f>IF(OR('質問'!F80=1,'質問'!J80=1),"利用者の協力により、デスクライトの消灯の採用率が高まると、省エネ効果は","")</f>
        <v>利用者の協力により、デスクライトの消灯の採用率が高まると、省エネ効果は</v>
      </c>
      <c r="E69" s="377"/>
      <c r="F69" s="377"/>
      <c r="G69" s="377"/>
      <c r="H69" s="377"/>
      <c r="I69" s="377"/>
      <c r="J69" s="378"/>
    </row>
    <row r="70" spans="1:10" ht="13.5">
      <c r="A70" s="374"/>
      <c r="B70" s="383"/>
      <c r="C70" s="384"/>
      <c r="D70" s="385">
        <f>IF(OR('質問'!F80=1,'質問'!J80=1),'回答算出'!C105+'回答算出'!H105-D68,"")</f>
        <v>45</v>
      </c>
      <c r="E70" s="381" t="str">
        <f>IF(OR('質問'!F80=1,'質問'!J80=1),"ｋWh/年増えると予想されます。","")</f>
        <v>ｋWh/年増えると予想されます。</v>
      </c>
      <c r="F70" s="381"/>
      <c r="G70" s="381"/>
      <c r="H70" s="381"/>
      <c r="I70" s="381"/>
      <c r="J70" s="382"/>
    </row>
    <row r="71" spans="1:9" ht="13.5">
      <c r="A71" s="374"/>
      <c r="B71" s="374"/>
      <c r="C71" s="374"/>
      <c r="D71" s="374"/>
      <c r="E71" s="374"/>
      <c r="F71" s="374"/>
      <c r="G71" s="374"/>
      <c r="H71" s="374"/>
      <c r="I71" s="374"/>
    </row>
    <row r="72" spans="1:10" ht="13.5">
      <c r="A72" s="374"/>
      <c r="B72" s="375" t="s">
        <v>140</v>
      </c>
      <c r="C72" s="376"/>
      <c r="D72" s="375" t="s">
        <v>708</v>
      </c>
      <c r="E72" s="377"/>
      <c r="F72" s="377"/>
      <c r="G72" s="377"/>
      <c r="H72" s="377"/>
      <c r="I72" s="377"/>
      <c r="J72" s="378"/>
    </row>
    <row r="73" spans="1:10" ht="13.5">
      <c r="A73" s="374"/>
      <c r="B73" s="379"/>
      <c r="C73" s="380"/>
      <c r="D73" s="385">
        <f>'回答算出'!C114+'回答算出'!H114</f>
        <v>7200</v>
      </c>
      <c r="E73" s="381" t="s">
        <v>128</v>
      </c>
      <c r="F73" s="381"/>
      <c r="G73" s="381"/>
      <c r="H73" s="381"/>
      <c r="I73" s="381"/>
      <c r="J73" s="382"/>
    </row>
    <row r="74" spans="1:10" ht="13.5">
      <c r="A74" s="374"/>
      <c r="B74" s="379"/>
      <c r="C74" s="380"/>
      <c r="D74" s="375" t="str">
        <f>IF(OR('質問'!F85=1,'質問'!J85=1),"利用者の協力により、パソコンの電源OFFの採用率が高まると、省エネ効果は","")</f>
        <v>利用者の協力により、パソコンの電源OFFの採用率が高まると、省エネ効果は</v>
      </c>
      <c r="E74" s="377"/>
      <c r="F74" s="377"/>
      <c r="G74" s="377"/>
      <c r="H74" s="377"/>
      <c r="I74" s="377"/>
      <c r="J74" s="378"/>
    </row>
    <row r="75" spans="1:10" ht="13.5">
      <c r="A75" s="374"/>
      <c r="B75" s="383"/>
      <c r="C75" s="384"/>
      <c r="D75" s="385">
        <f>IF(OR('質問'!F85=1,'質問'!J85=1),'回答算出'!C115+'回答算出'!H115-D73,"")</f>
        <v>1350</v>
      </c>
      <c r="E75" s="381" t="str">
        <f>IF(OR('質問'!F85=1,'質問'!J85=1),"ｋWh/年増えると予想されます。","")</f>
        <v>ｋWh/年増えると予想されます。</v>
      </c>
      <c r="F75" s="381"/>
      <c r="G75" s="381"/>
      <c r="H75" s="381"/>
      <c r="I75" s="381"/>
      <c r="J75" s="382"/>
    </row>
    <row r="76" spans="1:9" ht="13.5">
      <c r="A76" s="374"/>
      <c r="B76" s="374"/>
      <c r="C76" s="374"/>
      <c r="D76" s="374"/>
      <c r="E76" s="374"/>
      <c r="F76" s="374"/>
      <c r="G76" s="374"/>
      <c r="H76" s="374"/>
      <c r="I76" s="374"/>
    </row>
    <row r="77" spans="1:9" ht="14.25">
      <c r="A77" s="373" t="s">
        <v>344</v>
      </c>
      <c r="B77" s="374"/>
      <c r="C77" s="374"/>
      <c r="D77" s="374"/>
      <c r="E77" s="374"/>
      <c r="F77" s="374"/>
      <c r="G77" s="374"/>
      <c r="H77" s="374"/>
      <c r="I77" s="374"/>
    </row>
    <row r="78" spans="1:9" ht="13.5">
      <c r="A78" s="374"/>
      <c r="B78" s="374"/>
      <c r="C78" s="374"/>
      <c r="D78" s="374"/>
      <c r="E78" s="374"/>
      <c r="F78" s="374"/>
      <c r="G78" s="374"/>
      <c r="H78" s="374"/>
      <c r="I78" s="374"/>
    </row>
    <row r="79" spans="1:10" ht="13.5">
      <c r="A79" s="374"/>
      <c r="B79" s="375" t="s">
        <v>141</v>
      </c>
      <c r="C79" s="376"/>
      <c r="D79" s="375" t="s">
        <v>342</v>
      </c>
      <c r="E79" s="377"/>
      <c r="F79" s="377"/>
      <c r="G79" s="377"/>
      <c r="H79" s="377"/>
      <c r="I79" s="377"/>
      <c r="J79" s="378"/>
    </row>
    <row r="80" spans="1:10" ht="13.5">
      <c r="A80" s="374"/>
      <c r="B80" s="379"/>
      <c r="C80" s="380"/>
      <c r="D80" s="385">
        <f>'回答算出'!C125+'回答算出'!H125</f>
        <v>480</v>
      </c>
      <c r="E80" s="381" t="s">
        <v>128</v>
      </c>
      <c r="F80" s="381"/>
      <c r="G80" s="381"/>
      <c r="H80" s="381"/>
      <c r="I80" s="381"/>
      <c r="J80" s="382"/>
    </row>
    <row r="81" spans="1:10" ht="13.5">
      <c r="A81" s="374"/>
      <c r="B81" s="379"/>
      <c r="C81" s="380"/>
      <c r="D81" s="375" t="str">
        <f>IF(OR('質問'!F90=1,'質問'!J90=1),"利用者の協力により、省エネ型のOA機器の採用率が高まると、省エネ効果は","")</f>
        <v>利用者の協力により、省エネ型のOA機器の採用率が高まると、省エネ効果は</v>
      </c>
      <c r="E81" s="377"/>
      <c r="F81" s="377"/>
      <c r="G81" s="377"/>
      <c r="H81" s="377"/>
      <c r="I81" s="377"/>
      <c r="J81" s="378"/>
    </row>
    <row r="82" spans="1:10" ht="13.5">
      <c r="A82" s="374"/>
      <c r="B82" s="383"/>
      <c r="C82" s="384"/>
      <c r="D82" s="385">
        <f>IF(OR('質問'!F90=1,'質問'!J90=1),'回答算出'!C126+'回答算出'!H126-D80,"")</f>
        <v>90</v>
      </c>
      <c r="E82" s="381" t="str">
        <f>IF(OR('質問'!F90=1,'質問'!J90=1),"ｋWh/年増えると予想されます。","")</f>
        <v>ｋWh/年増えると予想されます。</v>
      </c>
      <c r="F82" s="381"/>
      <c r="G82" s="381"/>
      <c r="H82" s="381"/>
      <c r="I82" s="381"/>
      <c r="J82" s="382"/>
    </row>
    <row r="83" spans="1:9" ht="13.5">
      <c r="A83" s="374"/>
      <c r="B83" s="374"/>
      <c r="C83" s="374"/>
      <c r="D83" s="374"/>
      <c r="E83" s="374"/>
      <c r="F83" s="374"/>
      <c r="G83" s="374"/>
      <c r="H83" s="374"/>
      <c r="I83" s="374"/>
    </row>
    <row r="84" spans="1:10" ht="13.5">
      <c r="A84" s="374"/>
      <c r="B84" s="375" t="s">
        <v>142</v>
      </c>
      <c r="C84" s="376"/>
      <c r="D84" s="375" t="s">
        <v>709</v>
      </c>
      <c r="E84" s="377"/>
      <c r="F84" s="377"/>
      <c r="G84" s="377"/>
      <c r="H84" s="377"/>
      <c r="I84" s="377"/>
      <c r="J84" s="378"/>
    </row>
    <row r="85" spans="1:10" ht="13.5">
      <c r="A85" s="374"/>
      <c r="B85" s="379"/>
      <c r="C85" s="380"/>
      <c r="D85" s="385">
        <f>'回答算出'!C134+'回答算出'!H134</f>
        <v>16704</v>
      </c>
      <c r="E85" s="381" t="s">
        <v>128</v>
      </c>
      <c r="F85" s="381"/>
      <c r="G85" s="381"/>
      <c r="H85" s="381"/>
      <c r="I85" s="381"/>
      <c r="J85" s="382"/>
    </row>
    <row r="86" spans="1:10" ht="13.5">
      <c r="A86" s="374"/>
      <c r="B86" s="379"/>
      <c r="C86" s="380"/>
      <c r="D86" s="375" t="str">
        <f>IF(OR('質問'!F95=1,'質問'!J95=1),"利用者の協力により、ノート型パソコン或いは液晶ディスプレイの採用率が高まると、省エネ効果は","")</f>
        <v>利用者の協力により、ノート型パソコン或いは液晶ディスプレイの採用率が高まると、省エネ効果は</v>
      </c>
      <c r="E86" s="377"/>
      <c r="F86" s="377"/>
      <c r="G86" s="377"/>
      <c r="H86" s="377"/>
      <c r="I86" s="377"/>
      <c r="J86" s="378"/>
    </row>
    <row r="87" spans="1:10" ht="13.5">
      <c r="A87" s="374"/>
      <c r="B87" s="383"/>
      <c r="C87" s="384"/>
      <c r="D87" s="385">
        <f>IF(OR('質問'!F95=1,'質問'!J95=1),'回答算出'!C135+'回答算出'!H135-D85,"")</f>
        <v>3456</v>
      </c>
      <c r="E87" s="381" t="str">
        <f>IF(OR('質問'!F95=1,'質問'!J95=1),"ｋWh/年増えると予想されます。","")</f>
        <v>ｋWh/年増えると予想されます。</v>
      </c>
      <c r="F87" s="381"/>
      <c r="G87" s="381"/>
      <c r="H87" s="381"/>
      <c r="I87" s="381"/>
      <c r="J87" s="382"/>
    </row>
    <row r="88" spans="1:9" ht="13.5">
      <c r="A88" s="374"/>
      <c r="B88" s="374"/>
      <c r="C88" s="374"/>
      <c r="D88" s="374"/>
      <c r="E88" s="374"/>
      <c r="F88" s="374"/>
      <c r="G88" s="374"/>
      <c r="H88" s="374"/>
      <c r="I88" s="374"/>
    </row>
    <row r="89" spans="1:10" ht="13.5">
      <c r="A89" s="374"/>
      <c r="B89" s="375" t="s">
        <v>143</v>
      </c>
      <c r="C89" s="376"/>
      <c r="D89" s="375" t="s">
        <v>80</v>
      </c>
      <c r="E89" s="377"/>
      <c r="F89" s="377"/>
      <c r="G89" s="377"/>
      <c r="H89" s="377"/>
      <c r="I89" s="377"/>
      <c r="J89" s="378"/>
    </row>
    <row r="90" spans="1:10" ht="13.5">
      <c r="A90" s="374"/>
      <c r="B90" s="379"/>
      <c r="C90" s="380"/>
      <c r="D90" s="385">
        <f>'回答算出'!C145+'回答算出'!H145</f>
        <v>3264</v>
      </c>
      <c r="E90" s="381" t="s">
        <v>128</v>
      </c>
      <c r="F90" s="381"/>
      <c r="G90" s="381"/>
      <c r="H90" s="381"/>
      <c r="I90" s="381"/>
      <c r="J90" s="382"/>
    </row>
    <row r="91" spans="1:10" ht="13.5">
      <c r="A91" s="374"/>
      <c r="B91" s="379"/>
      <c r="C91" s="380"/>
      <c r="D91" s="375" t="str">
        <f>IF(OR('質問'!F100=1,'質問'!J100=1),"利用者の協力により、コピー機等の自動OFF或いは省電力モードへの切替の採用率が高まると、省エネ効果は","")</f>
        <v>利用者の協力により、コピー機等の自動OFF或いは省電力モードへの切替の採用率が高まると、省エネ効果は</v>
      </c>
      <c r="E91" s="377"/>
      <c r="F91" s="377"/>
      <c r="G91" s="377"/>
      <c r="H91" s="377"/>
      <c r="I91" s="377"/>
      <c r="J91" s="388"/>
    </row>
    <row r="92" spans="1:10" ht="13.5">
      <c r="A92" s="374"/>
      <c r="B92" s="383"/>
      <c r="C92" s="384"/>
      <c r="D92" s="385">
        <f>IF(OR('質問'!F100=1,'質問'!J100=1),'回答算出'!C146+'回答算出'!H146-D90,"")</f>
        <v>576</v>
      </c>
      <c r="E92" s="381" t="str">
        <f>IF(OR('質問'!F100=1,'質問'!J100=1),"ｋWh/年増えると予想されます。","")</f>
        <v>ｋWh/年増えると予想されます。</v>
      </c>
      <c r="F92" s="381"/>
      <c r="G92" s="381"/>
      <c r="H92" s="381"/>
      <c r="I92" s="381"/>
      <c r="J92" s="382"/>
    </row>
    <row r="93" spans="1:9" ht="13.5">
      <c r="A93" s="374"/>
      <c r="B93" s="374"/>
      <c r="C93" s="389"/>
      <c r="D93" s="374"/>
      <c r="E93" s="374"/>
      <c r="F93" s="374"/>
      <c r="G93" s="374"/>
      <c r="H93" s="374"/>
      <c r="I93" s="374"/>
    </row>
    <row r="94" spans="1:9" ht="14.25">
      <c r="A94" s="373" t="s">
        <v>345</v>
      </c>
      <c r="B94" s="374"/>
      <c r="C94" s="389"/>
      <c r="D94" s="374"/>
      <c r="E94" s="374"/>
      <c r="F94" s="374"/>
      <c r="G94" s="374"/>
      <c r="H94" s="374"/>
      <c r="I94" s="374"/>
    </row>
    <row r="95" spans="1:9" ht="13.5">
      <c r="A95" s="374"/>
      <c r="B95" s="374"/>
      <c r="C95" s="374"/>
      <c r="D95" s="374"/>
      <c r="E95" s="374"/>
      <c r="F95" s="374"/>
      <c r="G95" s="374"/>
      <c r="H95" s="374"/>
      <c r="I95" s="374"/>
    </row>
    <row r="96" spans="1:10" ht="13.5">
      <c r="A96" s="374"/>
      <c r="B96" s="375" t="s">
        <v>144</v>
      </c>
      <c r="C96" s="376"/>
      <c r="D96" s="375" t="s">
        <v>710</v>
      </c>
      <c r="E96" s="377"/>
      <c r="F96" s="377"/>
      <c r="G96" s="377"/>
      <c r="H96" s="377"/>
      <c r="I96" s="377"/>
      <c r="J96" s="378"/>
    </row>
    <row r="97" spans="1:10" ht="13.5">
      <c r="A97" s="374"/>
      <c r="B97" s="379"/>
      <c r="C97" s="380"/>
      <c r="D97" s="385">
        <f>'回答算出'!C153</f>
        <v>34000</v>
      </c>
      <c r="E97" s="381" t="s">
        <v>133</v>
      </c>
      <c r="F97" s="381"/>
      <c r="G97" s="381"/>
      <c r="H97" s="381"/>
      <c r="I97" s="381"/>
      <c r="J97" s="382"/>
    </row>
    <row r="98" spans="2:10" ht="13.5">
      <c r="B98" s="379"/>
      <c r="C98" s="380"/>
      <c r="D98" s="375">
        <f>IF(OR('質問'!F106=1,'質問'!G105&gt;'回答算出'!E151),"施設管理により、省エネ活動の呼びかけが適切になされると、省エネ効果は","")</f>
      </c>
      <c r="E98" s="377"/>
      <c r="F98" s="390"/>
      <c r="G98" s="390"/>
      <c r="H98" s="390"/>
      <c r="I98" s="390"/>
      <c r="J98" s="378"/>
    </row>
    <row r="99" spans="2:10" ht="13.5">
      <c r="B99" s="383"/>
      <c r="C99" s="384"/>
      <c r="D99" s="385">
        <f>IF(OR('質問'!F106=1,'質問'!G105&gt;'回答算出'!E151),'回答算出'!C154-D97,"")</f>
      </c>
      <c r="E99" s="381">
        <f>IF(OR('質問'!F106=1,'質問'!G105&gt;'回答算出'!E151),"MJ/年増えると予想されます。","")</f>
      </c>
      <c r="F99" s="391"/>
      <c r="G99" s="391"/>
      <c r="H99" s="391"/>
      <c r="I99" s="391"/>
      <c r="J99" s="382"/>
    </row>
    <row r="100" spans="2:10" ht="13.5">
      <c r="B100" s="389"/>
      <c r="C100" s="389"/>
      <c r="D100" s="392"/>
      <c r="E100" s="389"/>
      <c r="F100" s="386"/>
      <c r="G100" s="386"/>
      <c r="H100" s="386"/>
      <c r="I100" s="386"/>
      <c r="J100" s="386"/>
    </row>
    <row r="101" spans="2:10" ht="13.5">
      <c r="B101" s="375" t="s">
        <v>145</v>
      </c>
      <c r="C101" s="376"/>
      <c r="D101" s="375" t="s">
        <v>346</v>
      </c>
      <c r="E101" s="377"/>
      <c r="F101" s="377"/>
      <c r="G101" s="377"/>
      <c r="H101" s="377"/>
      <c r="I101" s="377"/>
      <c r="J101" s="378"/>
    </row>
    <row r="102" spans="2:10" ht="13.5">
      <c r="B102" s="379"/>
      <c r="C102" s="380"/>
      <c r="D102" s="385">
        <f>'回答算出'!C164+'回答算出'!H164</f>
        <v>93.76744186046513</v>
      </c>
      <c r="E102" s="381" t="s">
        <v>133</v>
      </c>
      <c r="F102" s="381"/>
      <c r="G102" s="381"/>
      <c r="H102" s="381"/>
      <c r="I102" s="381"/>
      <c r="J102" s="382"/>
    </row>
    <row r="103" spans="2:10" ht="13.5">
      <c r="B103" s="379"/>
      <c r="C103" s="380"/>
      <c r="D103" s="375">
        <f>IF(OR('質問'!F110=1,'質問'!G110&gt;'回答算出'!E156),"施設管理により、最寄階への階段利用の呼びかけが適切になされると、省エネ効果は","")</f>
      </c>
      <c r="E103" s="377"/>
      <c r="F103" s="390"/>
      <c r="G103" s="390"/>
      <c r="H103" s="390"/>
      <c r="I103" s="390"/>
      <c r="J103" s="378"/>
    </row>
    <row r="104" spans="2:10" ht="13.5">
      <c r="B104" s="383"/>
      <c r="C104" s="384"/>
      <c r="D104" s="385">
        <f>IF(OR('質問'!F110=1,'質問'!G109&gt;'回答算出'!E162),'回答算出'!C165+'回答算出'!H165-D102,"")</f>
      </c>
      <c r="E104" s="381">
        <f>IF(OR('質問'!F110=1,'質問'!G109&gt;'回答算出'!E162),"MJ/年増えると予想されます。","")</f>
      </c>
      <c r="F104" s="391"/>
      <c r="G104" s="391"/>
      <c r="H104" s="391"/>
      <c r="I104" s="391"/>
      <c r="J104" s="382"/>
    </row>
    <row r="105" spans="2:5" ht="13.5">
      <c r="B105" s="374"/>
      <c r="C105" s="389"/>
      <c r="D105" s="393"/>
      <c r="E105" s="374"/>
    </row>
    <row r="106" spans="1:9" ht="13.5">
      <c r="A106" s="374"/>
      <c r="B106" s="374"/>
      <c r="C106" s="374"/>
      <c r="D106" s="374"/>
      <c r="E106" s="374"/>
      <c r="F106" s="374"/>
      <c r="G106" s="374"/>
      <c r="H106" s="374"/>
      <c r="I106" s="374"/>
    </row>
    <row r="107" ht="14.25">
      <c r="A107" s="4" t="s">
        <v>472</v>
      </c>
    </row>
    <row r="108" spans="1:9" ht="13.5">
      <c r="A108" s="374"/>
      <c r="B108" s="374" t="s">
        <v>473</v>
      </c>
      <c r="C108" s="374"/>
      <c r="D108" s="374"/>
      <c r="E108" s="374"/>
      <c r="F108" s="374"/>
      <c r="G108" s="374"/>
      <c r="H108" s="374"/>
      <c r="I108" s="374"/>
    </row>
    <row r="109" spans="1:9" ht="13.5">
      <c r="A109" s="374"/>
      <c r="B109" s="374"/>
      <c r="C109" s="374"/>
      <c r="D109" s="374"/>
      <c r="E109" s="374"/>
      <c r="F109" s="374"/>
      <c r="G109" s="374"/>
      <c r="H109" s="374"/>
      <c r="I109" s="374"/>
    </row>
    <row r="131" ht="11.25">
      <c r="J131" s="394"/>
    </row>
    <row r="134" ht="14.25">
      <c r="A134" s="4" t="s">
        <v>505</v>
      </c>
    </row>
    <row r="135" ht="16.5">
      <c r="B135" s="374" t="s">
        <v>146</v>
      </c>
    </row>
    <row r="136" ht="5.25" customHeight="1" thickBot="1"/>
    <row r="137" spans="3:10" ht="15.75">
      <c r="C137" s="593" t="s">
        <v>501</v>
      </c>
      <c r="D137" s="594"/>
      <c r="E137" s="594"/>
      <c r="F137" s="594"/>
      <c r="G137" s="595"/>
      <c r="H137" s="395">
        <f>'回答算出'!F281</f>
        <v>112368.8</v>
      </c>
      <c r="I137" s="396" t="s">
        <v>719</v>
      </c>
      <c r="J137" s="386"/>
    </row>
    <row r="138" spans="3:10" ht="15" customHeight="1">
      <c r="C138" s="596"/>
      <c r="D138" s="597"/>
      <c r="E138" s="597"/>
      <c r="F138" s="597"/>
      <c r="G138" s="598"/>
      <c r="H138" s="397">
        <f>'回答算出'!F282</f>
        <v>3453.2850731707317</v>
      </c>
      <c r="I138" s="398" t="s">
        <v>147</v>
      </c>
      <c r="J138" s="386"/>
    </row>
    <row r="139" spans="3:10" ht="15" customHeight="1" thickBot="1">
      <c r="C139" s="599"/>
      <c r="D139" s="600"/>
      <c r="E139" s="600"/>
      <c r="F139" s="600"/>
      <c r="G139" s="601"/>
      <c r="H139" s="399">
        <f>ROUND(H137*1.3,-4)</f>
        <v>150000</v>
      </c>
      <c r="I139" s="365" t="s">
        <v>363</v>
      </c>
      <c r="J139" s="386"/>
    </row>
    <row r="140" spans="5:10" ht="11.25">
      <c r="E140" s="371" t="s">
        <v>502</v>
      </c>
      <c r="H140" s="400">
        <f>'回答算出'!F283</f>
        <v>10962.809756097562</v>
      </c>
      <c r="I140" s="386" t="s">
        <v>504</v>
      </c>
      <c r="J140" s="386"/>
    </row>
    <row r="141" ht="11.25">
      <c r="E141" s="401" t="s">
        <v>362</v>
      </c>
    </row>
    <row r="144" ht="15" thickBot="1">
      <c r="A144" s="4" t="s">
        <v>506</v>
      </c>
    </row>
    <row r="145" spans="2:9" ht="14.25" thickBot="1">
      <c r="B145" s="374" t="s">
        <v>48</v>
      </c>
      <c r="H145" s="402" t="s">
        <v>148</v>
      </c>
      <c r="I145" s="403" t="str">
        <f>'回答算出'!C237</f>
        <v>普通</v>
      </c>
    </row>
    <row r="146" ht="11.25">
      <c r="E146" s="371" t="s">
        <v>625</v>
      </c>
    </row>
    <row r="147" ht="11.25">
      <c r="E147" s="404" t="s">
        <v>626</v>
      </c>
    </row>
    <row r="151" ht="11.25">
      <c r="F151" s="371" t="s">
        <v>149</v>
      </c>
    </row>
  </sheetData>
  <sheetProtection/>
  <mergeCells count="1">
    <mergeCell ref="C137:G139"/>
  </mergeCells>
  <printOptions/>
  <pageMargins left="0.37" right="0.1968503937007874" top="0.5905511811023623" bottom="0.1968503937007874" header="0.5118110236220472" footer="0.31496062992125984"/>
  <pageSetup horizontalDpi="600" verticalDpi="600" orientation="portrait" paperSize="9" scale="99" r:id="rId2"/>
  <rowBreaks count="2" manualBreakCount="2">
    <brk id="53" max="9" man="1"/>
    <brk id="105" max="9" man="1"/>
  </rowBreaks>
  <drawing r:id="rId1"/>
</worksheet>
</file>

<file path=xl/worksheets/sheet5.xml><?xml version="1.0" encoding="utf-8"?>
<worksheet xmlns="http://schemas.openxmlformats.org/spreadsheetml/2006/main" xmlns:r="http://schemas.openxmlformats.org/officeDocument/2006/relationships">
  <dimension ref="A1:Q30"/>
  <sheetViews>
    <sheetView zoomScalePageLayoutView="0" workbookViewId="0" topLeftCell="A1">
      <selection activeCell="H109" sqref="H109"/>
    </sheetView>
  </sheetViews>
  <sheetFormatPr defaultColWidth="9.00390625" defaultRowHeight="13.5"/>
  <cols>
    <col min="1" max="1" width="3.875" style="0" customWidth="1"/>
    <col min="5" max="5" width="31.25390625" style="0" customWidth="1"/>
    <col min="6" max="6" width="16.25390625" style="0" customWidth="1"/>
    <col min="7" max="7" width="6.125" style="0" customWidth="1"/>
    <col min="8" max="8" width="6.75390625" style="0" customWidth="1"/>
    <col min="9" max="9" width="6.50390625" style="0" customWidth="1"/>
  </cols>
  <sheetData>
    <row r="1" spans="1:9" ht="17.25">
      <c r="A1" s="3" t="s">
        <v>42</v>
      </c>
      <c r="B1" s="317"/>
      <c r="C1" s="317"/>
      <c r="D1" s="317"/>
      <c r="E1" s="317"/>
      <c r="F1" s="317"/>
      <c r="G1" s="317"/>
      <c r="H1" s="317"/>
      <c r="I1" s="317"/>
    </row>
    <row r="2" spans="1:9" ht="7.5" customHeight="1" thickBot="1">
      <c r="A2" s="317"/>
      <c r="B2" s="4"/>
      <c r="C2" s="317"/>
      <c r="D2" s="317"/>
      <c r="E2" s="317"/>
      <c r="F2" s="317"/>
      <c r="G2" s="317"/>
      <c r="H2" s="317"/>
      <c r="I2" s="317"/>
    </row>
    <row r="3" spans="1:9" ht="13.5">
      <c r="A3" s="317"/>
      <c r="B3" s="606" t="s">
        <v>94</v>
      </c>
      <c r="C3" s="604"/>
      <c r="D3" s="604"/>
      <c r="E3" s="604"/>
      <c r="F3" s="607"/>
      <c r="G3" s="603" t="s">
        <v>658</v>
      </c>
      <c r="H3" s="604"/>
      <c r="I3" s="605"/>
    </row>
    <row r="4" spans="1:9" ht="36" customHeight="1">
      <c r="A4" s="317"/>
      <c r="B4" s="602" t="s">
        <v>95</v>
      </c>
      <c r="C4" s="563"/>
      <c r="D4" s="563"/>
      <c r="E4" s="564"/>
      <c r="F4" s="27" t="s">
        <v>665</v>
      </c>
      <c r="G4" s="335">
        <v>1</v>
      </c>
      <c r="H4" s="336"/>
      <c r="I4" s="337"/>
    </row>
    <row r="5" spans="1:9" ht="23.25" customHeight="1">
      <c r="A5" s="317"/>
      <c r="B5" s="619"/>
      <c r="C5" s="27">
        <f>IF(G4=2,"Q１で「いいえ」とご回答された方へ。どの質問が分かりにくかったでしょうか？","")</f>
      </c>
      <c r="D5" s="33"/>
      <c r="E5" s="34"/>
      <c r="F5" s="27"/>
      <c r="G5" s="338"/>
      <c r="H5" s="339"/>
      <c r="I5" s="340"/>
    </row>
    <row r="6" spans="1:9" ht="15.75" customHeight="1">
      <c r="A6" s="317"/>
      <c r="B6" s="620"/>
      <c r="C6" s="608" t="s">
        <v>27</v>
      </c>
      <c r="D6" s="609"/>
      <c r="E6" s="609"/>
      <c r="F6" s="609"/>
      <c r="G6" s="609"/>
      <c r="H6" s="609"/>
      <c r="I6" s="610"/>
    </row>
    <row r="7" spans="1:9" ht="15.75" customHeight="1">
      <c r="A7" s="317"/>
      <c r="B7" s="620"/>
      <c r="C7" s="608" t="s">
        <v>27</v>
      </c>
      <c r="D7" s="609"/>
      <c r="E7" s="609"/>
      <c r="F7" s="609"/>
      <c r="G7" s="609"/>
      <c r="H7" s="609"/>
      <c r="I7" s="611"/>
    </row>
    <row r="8" spans="1:9" ht="15.75" customHeight="1">
      <c r="A8" s="317"/>
      <c r="B8" s="621"/>
      <c r="C8" s="608" t="s">
        <v>27</v>
      </c>
      <c r="D8" s="609"/>
      <c r="E8" s="609"/>
      <c r="F8" s="609"/>
      <c r="G8" s="609"/>
      <c r="H8" s="609"/>
      <c r="I8" s="611"/>
    </row>
    <row r="9" spans="1:9" ht="36" customHeight="1">
      <c r="A9" s="317"/>
      <c r="B9" s="602" t="s">
        <v>96</v>
      </c>
      <c r="C9" s="563"/>
      <c r="D9" s="563"/>
      <c r="E9" s="564"/>
      <c r="F9" s="27" t="s">
        <v>43</v>
      </c>
      <c r="G9" s="335">
        <v>1</v>
      </c>
      <c r="H9" s="336"/>
      <c r="I9" s="337"/>
    </row>
    <row r="10" spans="1:9" ht="23.25" customHeight="1">
      <c r="A10" s="317"/>
      <c r="B10" s="612"/>
      <c r="C10" s="27">
        <f>IF(G9=2,"Q２で「いいえ」とご回答された方へ。回答の仕方のどの部分が分かりにくかったでしょうか？","")</f>
      </c>
      <c r="D10" s="33"/>
      <c r="E10" s="34"/>
      <c r="F10" s="27"/>
      <c r="G10" s="338"/>
      <c r="H10" s="339"/>
      <c r="I10" s="340"/>
    </row>
    <row r="11" spans="1:9" ht="15.75" customHeight="1">
      <c r="A11" s="317"/>
      <c r="B11" s="613"/>
      <c r="C11" s="608" t="s">
        <v>38</v>
      </c>
      <c r="D11" s="609"/>
      <c r="E11" s="609"/>
      <c r="F11" s="609"/>
      <c r="G11" s="609"/>
      <c r="H11" s="609"/>
      <c r="I11" s="611"/>
    </row>
    <row r="12" spans="1:9" ht="15.75" customHeight="1">
      <c r="A12" s="317"/>
      <c r="B12" s="613"/>
      <c r="C12" s="608" t="s">
        <v>38</v>
      </c>
      <c r="D12" s="609"/>
      <c r="E12" s="609"/>
      <c r="F12" s="609"/>
      <c r="G12" s="609"/>
      <c r="H12" s="609"/>
      <c r="I12" s="611"/>
    </row>
    <row r="13" spans="1:9" ht="15.75" customHeight="1">
      <c r="A13" s="317"/>
      <c r="B13" s="614"/>
      <c r="C13" s="608" t="s">
        <v>38</v>
      </c>
      <c r="D13" s="609"/>
      <c r="E13" s="609"/>
      <c r="F13" s="609"/>
      <c r="G13" s="609"/>
      <c r="H13" s="609"/>
      <c r="I13" s="611"/>
    </row>
    <row r="14" spans="1:9" ht="36" customHeight="1">
      <c r="A14" s="317"/>
      <c r="B14" s="602" t="s">
        <v>718</v>
      </c>
      <c r="C14" s="563"/>
      <c r="D14" s="563"/>
      <c r="E14" s="564"/>
      <c r="F14" s="27" t="s">
        <v>43</v>
      </c>
      <c r="G14" s="335">
        <v>1</v>
      </c>
      <c r="H14" s="336"/>
      <c r="I14" s="337"/>
    </row>
    <row r="15" spans="1:9" ht="20.25" customHeight="1">
      <c r="A15" s="317"/>
      <c r="B15" s="612"/>
      <c r="C15" s="36">
        <f>IF(G14=2,"Q３で「いいえ」とご回答された方へ。どの部分が分かりにくかったでしょうか？","")</f>
      </c>
      <c r="D15" s="37"/>
      <c r="E15" s="37"/>
      <c r="F15" s="339"/>
      <c r="G15" s="341"/>
      <c r="H15" s="338"/>
      <c r="I15" s="340"/>
    </row>
    <row r="16" spans="1:9" ht="15.75" customHeight="1">
      <c r="A16" s="317"/>
      <c r="B16" s="613"/>
      <c r="C16" s="608" t="s">
        <v>38</v>
      </c>
      <c r="D16" s="609"/>
      <c r="E16" s="609"/>
      <c r="F16" s="609"/>
      <c r="G16" s="609"/>
      <c r="H16" s="609"/>
      <c r="I16" s="611"/>
    </row>
    <row r="17" spans="1:9" ht="15.75" customHeight="1">
      <c r="A17" s="317"/>
      <c r="B17" s="613"/>
      <c r="C17" s="608" t="s">
        <v>38</v>
      </c>
      <c r="D17" s="609"/>
      <c r="E17" s="609"/>
      <c r="F17" s="609"/>
      <c r="G17" s="609"/>
      <c r="H17" s="609"/>
      <c r="I17" s="611"/>
    </row>
    <row r="18" spans="1:9" ht="15.75" customHeight="1">
      <c r="A18" s="317"/>
      <c r="B18" s="614"/>
      <c r="C18" s="608" t="s">
        <v>38</v>
      </c>
      <c r="D18" s="609"/>
      <c r="E18" s="609"/>
      <c r="F18" s="609"/>
      <c r="G18" s="609"/>
      <c r="H18" s="609"/>
      <c r="I18" s="611"/>
    </row>
    <row r="19" spans="1:9" ht="39.75" customHeight="1">
      <c r="A19" s="317"/>
      <c r="B19" s="602" t="s">
        <v>44</v>
      </c>
      <c r="C19" s="563"/>
      <c r="D19" s="563"/>
      <c r="E19" s="564"/>
      <c r="F19" s="27" t="s">
        <v>45</v>
      </c>
      <c r="G19" s="343">
        <v>30</v>
      </c>
      <c r="H19" s="27" t="s">
        <v>98</v>
      </c>
      <c r="I19" s="337"/>
    </row>
    <row r="20" spans="1:9" ht="14.25" customHeight="1">
      <c r="A20" s="317"/>
      <c r="B20" s="38"/>
      <c r="C20" s="35"/>
      <c r="D20" s="35"/>
      <c r="E20" s="35"/>
      <c r="F20" s="55"/>
      <c r="G20" s="55"/>
      <c r="H20" s="55"/>
      <c r="I20" s="342"/>
    </row>
    <row r="21" spans="1:9" ht="15" customHeight="1">
      <c r="A21" s="317"/>
      <c r="B21" s="616" t="s">
        <v>99</v>
      </c>
      <c r="C21" s="617"/>
      <c r="D21" s="617"/>
      <c r="E21" s="617"/>
      <c r="F21" s="617"/>
      <c r="G21" s="617"/>
      <c r="H21" s="617"/>
      <c r="I21" s="618"/>
    </row>
    <row r="22" spans="1:9" ht="13.5">
      <c r="A22" s="317"/>
      <c r="B22" s="615" t="s">
        <v>38</v>
      </c>
      <c r="C22" s="609"/>
      <c r="D22" s="609"/>
      <c r="E22" s="609"/>
      <c r="F22" s="609"/>
      <c r="G22" s="609"/>
      <c r="H22" s="609"/>
      <c r="I22" s="611"/>
    </row>
    <row r="23" spans="1:9" ht="13.5">
      <c r="A23" s="317"/>
      <c r="B23" s="615" t="s">
        <v>38</v>
      </c>
      <c r="C23" s="609"/>
      <c r="D23" s="609"/>
      <c r="E23" s="609"/>
      <c r="F23" s="609"/>
      <c r="G23" s="609"/>
      <c r="H23" s="609"/>
      <c r="I23" s="611"/>
    </row>
    <row r="24" spans="1:17" ht="13.5">
      <c r="A24" s="317"/>
      <c r="B24" s="615" t="s">
        <v>38</v>
      </c>
      <c r="C24" s="609"/>
      <c r="D24" s="609"/>
      <c r="E24" s="609"/>
      <c r="F24" s="609"/>
      <c r="G24" s="609"/>
      <c r="H24" s="609"/>
      <c r="I24" s="611"/>
      <c r="Q24" s="6" t="s">
        <v>208</v>
      </c>
    </row>
    <row r="25" spans="1:17" ht="13.5">
      <c r="A25" s="317"/>
      <c r="B25" s="615" t="s">
        <v>38</v>
      </c>
      <c r="C25" s="609"/>
      <c r="D25" s="609"/>
      <c r="E25" s="609"/>
      <c r="F25" s="609"/>
      <c r="G25" s="609"/>
      <c r="H25" s="609"/>
      <c r="I25" s="611"/>
      <c r="Q25" s="7">
        <v>1</v>
      </c>
    </row>
    <row r="26" spans="1:17" ht="13.5">
      <c r="A26" s="317"/>
      <c r="B26" s="615" t="s">
        <v>38</v>
      </c>
      <c r="C26" s="609"/>
      <c r="D26" s="609"/>
      <c r="E26" s="609"/>
      <c r="F26" s="609"/>
      <c r="G26" s="609"/>
      <c r="H26" s="609"/>
      <c r="I26" s="611"/>
      <c r="Q26" s="8">
        <v>2</v>
      </c>
    </row>
    <row r="27" spans="1:9" ht="13.5">
      <c r="A27" s="317"/>
      <c r="B27" s="615" t="s">
        <v>38</v>
      </c>
      <c r="C27" s="609"/>
      <c r="D27" s="609"/>
      <c r="E27" s="609"/>
      <c r="F27" s="609"/>
      <c r="G27" s="609"/>
      <c r="H27" s="609"/>
      <c r="I27" s="611"/>
    </row>
    <row r="28" spans="2:9" ht="13.5">
      <c r="B28" s="615" t="s">
        <v>97</v>
      </c>
      <c r="C28" s="609"/>
      <c r="D28" s="609"/>
      <c r="E28" s="609"/>
      <c r="F28" s="609"/>
      <c r="G28" s="609"/>
      <c r="H28" s="609"/>
      <c r="I28" s="611"/>
    </row>
    <row r="29" spans="2:9" ht="13.5">
      <c r="B29" s="615" t="s">
        <v>97</v>
      </c>
      <c r="C29" s="609"/>
      <c r="D29" s="609"/>
      <c r="E29" s="609"/>
      <c r="F29" s="609"/>
      <c r="G29" s="609"/>
      <c r="H29" s="609"/>
      <c r="I29" s="611"/>
    </row>
    <row r="30" spans="2:9" ht="14.25" thickBot="1">
      <c r="B30" s="622" t="s">
        <v>97</v>
      </c>
      <c r="C30" s="623"/>
      <c r="D30" s="623"/>
      <c r="E30" s="623"/>
      <c r="F30" s="623"/>
      <c r="G30" s="623"/>
      <c r="H30" s="623"/>
      <c r="I30" s="624"/>
    </row>
  </sheetData>
  <sheetProtection/>
  <mergeCells count="28">
    <mergeCell ref="B29:I29"/>
    <mergeCell ref="B30:I30"/>
    <mergeCell ref="B25:I25"/>
    <mergeCell ref="B26:I26"/>
    <mergeCell ref="B27:I27"/>
    <mergeCell ref="B28:I28"/>
    <mergeCell ref="B23:I23"/>
    <mergeCell ref="B24:I24"/>
    <mergeCell ref="B21:I21"/>
    <mergeCell ref="B22:I22"/>
    <mergeCell ref="C13:I13"/>
    <mergeCell ref="B5:B8"/>
    <mergeCell ref="B10:B13"/>
    <mergeCell ref="B19:E19"/>
    <mergeCell ref="B14:E14"/>
    <mergeCell ref="C16:I16"/>
    <mergeCell ref="C17:I17"/>
    <mergeCell ref="C18:I18"/>
    <mergeCell ref="B15:B18"/>
    <mergeCell ref="C11:I11"/>
    <mergeCell ref="C8:I8"/>
    <mergeCell ref="C12:I12"/>
    <mergeCell ref="B4:E4"/>
    <mergeCell ref="B9:E9"/>
    <mergeCell ref="G3:I3"/>
    <mergeCell ref="B3:F3"/>
    <mergeCell ref="C6:I6"/>
    <mergeCell ref="C7:I7"/>
  </mergeCells>
  <dataValidations count="2">
    <dataValidation type="list" allowBlank="1" showInputMessage="1" showErrorMessage="1" sqref="G15">
      <formula1>$H$158:$H$159</formula1>
    </dataValidation>
    <dataValidation type="list" allowBlank="1" showInputMessage="1" showErrorMessage="1" sqref="G4 G9 G14">
      <formula1>$Q$25:$Q$26</formula1>
    </dataValidation>
  </dataValidations>
  <printOptions/>
  <pageMargins left="0.787" right="0.787" top="0.984" bottom="0.984" header="0.512" footer="0.512"/>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N283"/>
  <sheetViews>
    <sheetView zoomScalePageLayoutView="0" workbookViewId="0" topLeftCell="A1">
      <pane ySplit="3510" topLeftCell="A143" activePane="bottomLeft" state="split"/>
      <selection pane="topLeft" activeCell="H109" sqref="H109"/>
      <selection pane="bottomLeft" activeCell="H109" sqref="H109"/>
    </sheetView>
  </sheetViews>
  <sheetFormatPr defaultColWidth="9.00390625" defaultRowHeight="13.5"/>
  <cols>
    <col min="1" max="1" width="6.125" style="0" customWidth="1"/>
    <col min="2" max="2" width="16.00390625" style="0" bestFit="1" customWidth="1"/>
    <col min="3" max="3" width="10.00390625" style="0" customWidth="1"/>
    <col min="4" max="4" width="10.875" style="0" customWidth="1"/>
    <col min="6" max="6" width="8.875" style="0" customWidth="1"/>
    <col min="7" max="7" width="10.875" style="0" customWidth="1"/>
    <col min="10" max="10" width="11.50390625" style="0" customWidth="1"/>
  </cols>
  <sheetData>
    <row r="1" ht="13.5">
      <c r="A1" t="str">
        <f>'質問'!B21</f>
        <v>Ｑ１．昼休みに消灯していますか？</v>
      </c>
    </row>
    <row r="2" spans="3:8" ht="13.5">
      <c r="C2" t="s">
        <v>19</v>
      </c>
      <c r="H2" t="s">
        <v>20</v>
      </c>
    </row>
    <row r="3" spans="2:9" ht="13.5">
      <c r="B3" t="s">
        <v>734</v>
      </c>
      <c r="C3" s="19">
        <f>'質問'!H8</f>
        <v>1500</v>
      </c>
      <c r="D3" t="s">
        <v>739</v>
      </c>
      <c r="H3" s="19">
        <f>'質問'!L8</f>
        <v>500</v>
      </c>
      <c r="I3" t="s">
        <v>739</v>
      </c>
    </row>
    <row r="4" spans="2:11" ht="13.5">
      <c r="B4" t="s">
        <v>735</v>
      </c>
      <c r="C4" s="19">
        <f>C3*E4/100</f>
        <v>900</v>
      </c>
      <c r="D4" t="s">
        <v>738</v>
      </c>
      <c r="E4" s="19">
        <v>60</v>
      </c>
      <c r="F4" t="s">
        <v>743</v>
      </c>
      <c r="H4" s="19">
        <f>H3*J4/100</f>
        <v>300</v>
      </c>
      <c r="I4" t="s">
        <v>738</v>
      </c>
      <c r="J4" s="19">
        <v>60</v>
      </c>
      <c r="K4" t="s">
        <v>743</v>
      </c>
    </row>
    <row r="5" spans="2:9" ht="13.5">
      <c r="B5" t="s">
        <v>736</v>
      </c>
      <c r="C5" s="20">
        <v>20</v>
      </c>
      <c r="D5" t="s">
        <v>737</v>
      </c>
      <c r="H5" s="20">
        <v>20</v>
      </c>
      <c r="I5" t="s">
        <v>737</v>
      </c>
    </row>
    <row r="6" spans="2:10" ht="13.5">
      <c r="B6" t="s">
        <v>740</v>
      </c>
      <c r="C6" s="21">
        <v>0.5</v>
      </c>
      <c r="D6" t="s">
        <v>649</v>
      </c>
      <c r="E6" s="22" t="s">
        <v>751</v>
      </c>
      <c r="H6" s="21">
        <v>0.5</v>
      </c>
      <c r="I6" t="s">
        <v>649</v>
      </c>
      <c r="J6" s="22" t="s">
        <v>751</v>
      </c>
    </row>
    <row r="7" spans="2:9" ht="13.5">
      <c r="B7" t="s">
        <v>741</v>
      </c>
      <c r="C7" s="21">
        <v>200</v>
      </c>
      <c r="D7" t="s">
        <v>742</v>
      </c>
      <c r="H7" s="21">
        <v>200</v>
      </c>
      <c r="I7" t="s">
        <v>742</v>
      </c>
    </row>
    <row r="8" spans="2:9" ht="13.5">
      <c r="B8" t="s">
        <v>744</v>
      </c>
      <c r="C8" s="19">
        <f>C5*C4/1000*C6*C7</f>
        <v>1800</v>
      </c>
      <c r="D8" t="s">
        <v>745</v>
      </c>
      <c r="H8" s="19">
        <f>H5*H4/1000*H6*H7</f>
        <v>600</v>
      </c>
      <c r="I8" t="s">
        <v>745</v>
      </c>
    </row>
    <row r="9" spans="2:9" ht="13.5">
      <c r="B9" t="s">
        <v>65</v>
      </c>
      <c r="C9" s="19">
        <f>IF('質問'!H21="",0,C8*'質問'!H21/100)</f>
        <v>1440</v>
      </c>
      <c r="D9" t="s">
        <v>745</v>
      </c>
      <c r="H9" s="19">
        <f>IF('質問'!L21="",0,H8*'質問'!L21/100)</f>
        <v>480</v>
      </c>
      <c r="I9" t="s">
        <v>745</v>
      </c>
    </row>
    <row r="10" spans="2:9" ht="13.5">
      <c r="B10" t="s">
        <v>66</v>
      </c>
      <c r="C10" s="19">
        <f>IF('質問'!F22=1,'回答算出'!C8,'回答算出'!C9)</f>
        <v>1800</v>
      </c>
      <c r="D10" t="s">
        <v>745</v>
      </c>
      <c r="H10" s="19">
        <f>IF('質問'!J22=1,'回答算出'!H8,'回答算出'!H9)</f>
        <v>600</v>
      </c>
      <c r="I10" t="s">
        <v>745</v>
      </c>
    </row>
    <row r="12" ht="13.5">
      <c r="A12" t="str">
        <f>'質問'!B26</f>
        <v>Ｑ２．屋外からの採光にあわせて窓際は消灯していますか？</v>
      </c>
    </row>
    <row r="14" spans="2:9" ht="13.5">
      <c r="B14" t="s">
        <v>755</v>
      </c>
      <c r="C14" s="20">
        <v>2000</v>
      </c>
      <c r="D14" t="s">
        <v>746</v>
      </c>
      <c r="H14" s="20">
        <v>2000</v>
      </c>
      <c r="I14" t="s">
        <v>746</v>
      </c>
    </row>
    <row r="15" spans="2:10" ht="13.5">
      <c r="B15" t="s">
        <v>756</v>
      </c>
      <c r="C15" s="21">
        <v>0.1</v>
      </c>
      <c r="E15" s="22" t="s">
        <v>747</v>
      </c>
      <c r="H15" s="21">
        <v>0.1</v>
      </c>
      <c r="J15" s="22" t="s">
        <v>747</v>
      </c>
    </row>
    <row r="16" spans="2:9" ht="13.5">
      <c r="B16" t="s">
        <v>744</v>
      </c>
      <c r="C16" s="19">
        <f>C5*C4/1000*C14*C15</f>
        <v>3600</v>
      </c>
      <c r="D16" t="s">
        <v>745</v>
      </c>
      <c r="H16" s="19">
        <f>H5*H4/1000*H14*H15</f>
        <v>1200</v>
      </c>
      <c r="I16" t="s">
        <v>745</v>
      </c>
    </row>
    <row r="17" spans="2:9" ht="13.5">
      <c r="B17" t="s">
        <v>65</v>
      </c>
      <c r="C17" s="19">
        <f>IF('質問'!H26="",0,C16*'質問'!H26/100)</f>
        <v>2880</v>
      </c>
      <c r="D17" t="s">
        <v>745</v>
      </c>
      <c r="H17" s="19">
        <f>IF('質問'!L26="",0,H16*'質問'!L26/100)</f>
        <v>960</v>
      </c>
      <c r="I17" t="s">
        <v>745</v>
      </c>
    </row>
    <row r="18" spans="2:9" ht="13.5">
      <c r="B18" t="s">
        <v>66</v>
      </c>
      <c r="C18" s="19">
        <f>IF('質問'!F27=1,'回答算出'!C16,'回答算出'!C17)</f>
        <v>3600</v>
      </c>
      <c r="D18" t="s">
        <v>745</v>
      </c>
      <c r="H18" s="19">
        <f>IF('質問'!J27=1,'回答算出'!H16,'回答算出'!H17)</f>
        <v>960</v>
      </c>
      <c r="I18" t="s">
        <v>745</v>
      </c>
    </row>
    <row r="20" ht="13.5">
      <c r="A20" t="str">
        <f>'質問'!B32</f>
        <v>Ｑ３．廊下の照明は間引き点灯していますか？</v>
      </c>
    </row>
    <row r="22" spans="2:11" ht="13.5">
      <c r="B22" t="s">
        <v>748</v>
      </c>
      <c r="C22" s="19">
        <f>C3*E22/100</f>
        <v>75</v>
      </c>
      <c r="D22" t="s">
        <v>738</v>
      </c>
      <c r="E22" s="20">
        <v>5</v>
      </c>
      <c r="F22" t="s">
        <v>749</v>
      </c>
      <c r="H22" s="19">
        <f>H3*J22/100</f>
        <v>25</v>
      </c>
      <c r="I22" t="s">
        <v>738</v>
      </c>
      <c r="J22" s="20">
        <v>5</v>
      </c>
      <c r="K22" t="s">
        <v>749</v>
      </c>
    </row>
    <row r="23" spans="2:9" ht="13.5">
      <c r="B23" t="s">
        <v>736</v>
      </c>
      <c r="C23" s="20">
        <v>15</v>
      </c>
      <c r="D23" t="s">
        <v>737</v>
      </c>
      <c r="H23" s="20">
        <v>15</v>
      </c>
      <c r="I23" t="s">
        <v>737</v>
      </c>
    </row>
    <row r="24" spans="2:9" ht="13.5">
      <c r="B24" t="s">
        <v>755</v>
      </c>
      <c r="C24" s="20">
        <v>2000</v>
      </c>
      <c r="D24" t="s">
        <v>746</v>
      </c>
      <c r="H24" s="20">
        <v>2000</v>
      </c>
      <c r="I24" t="s">
        <v>746</v>
      </c>
    </row>
    <row r="25" spans="2:10" ht="13.5">
      <c r="B25" t="s">
        <v>756</v>
      </c>
      <c r="C25" s="21">
        <v>0.5</v>
      </c>
      <c r="E25" s="22" t="s">
        <v>750</v>
      </c>
      <c r="H25" s="21">
        <v>0.5</v>
      </c>
      <c r="J25" s="22" t="s">
        <v>750</v>
      </c>
    </row>
    <row r="26" spans="2:9" ht="13.5">
      <c r="B26" t="s">
        <v>744</v>
      </c>
      <c r="C26" s="19">
        <f>C23*C22/1000*C24*C25</f>
        <v>1125</v>
      </c>
      <c r="D26" t="s">
        <v>745</v>
      </c>
      <c r="H26" s="19">
        <f>H23*H22/1000*H24*H25</f>
        <v>375</v>
      </c>
      <c r="I26" t="s">
        <v>745</v>
      </c>
    </row>
    <row r="27" spans="2:9" ht="13.5">
      <c r="B27" t="s">
        <v>65</v>
      </c>
      <c r="C27" s="19">
        <f>IF('質問'!H32="",0,C26*'質問'!H32/100)</f>
        <v>900</v>
      </c>
      <c r="D27" t="s">
        <v>745</v>
      </c>
      <c r="H27" s="19">
        <f>IF('質問'!L32="",0,H26*'質問'!L32/100)</f>
        <v>75</v>
      </c>
      <c r="I27" t="s">
        <v>745</v>
      </c>
    </row>
    <row r="28" spans="2:9" ht="13.5">
      <c r="B28" t="s">
        <v>66</v>
      </c>
      <c r="C28" s="19">
        <f>IF('質問'!F33=1,'回答算出'!C26,'回答算出'!C27)</f>
        <v>1125</v>
      </c>
      <c r="D28" t="s">
        <v>745</v>
      </c>
      <c r="H28" s="19">
        <f>IF('質問'!J33=1,'回答算出'!H26,'回答算出'!H27)</f>
        <v>375</v>
      </c>
      <c r="I28" t="s">
        <v>745</v>
      </c>
    </row>
    <row r="30" ht="13.5">
      <c r="A30" t="str">
        <f>'質問'!B37</f>
        <v>Ｑ４．倉庫などの照明は普段消していますか？</v>
      </c>
    </row>
    <row r="32" spans="2:11" ht="13.5">
      <c r="B32" t="s">
        <v>752</v>
      </c>
      <c r="C32" s="19">
        <f>C3*E32/100</f>
        <v>30</v>
      </c>
      <c r="D32" t="s">
        <v>738</v>
      </c>
      <c r="E32" s="20">
        <v>2</v>
      </c>
      <c r="F32" t="s">
        <v>754</v>
      </c>
      <c r="H32" s="19">
        <f>H3*J32/100</f>
        <v>10</v>
      </c>
      <c r="I32" t="s">
        <v>738</v>
      </c>
      <c r="J32" s="20">
        <v>2</v>
      </c>
      <c r="K32" t="s">
        <v>754</v>
      </c>
    </row>
    <row r="33" spans="2:9" ht="13.5">
      <c r="B33" t="s">
        <v>736</v>
      </c>
      <c r="C33" s="20">
        <v>15</v>
      </c>
      <c r="D33" t="s">
        <v>737</v>
      </c>
      <c r="H33" s="20">
        <v>15</v>
      </c>
      <c r="I33" t="s">
        <v>737</v>
      </c>
    </row>
    <row r="34" spans="2:9" ht="13.5">
      <c r="B34" t="s">
        <v>755</v>
      </c>
      <c r="C34" s="20">
        <v>1000</v>
      </c>
      <c r="D34" t="s">
        <v>746</v>
      </c>
      <c r="H34" s="20">
        <v>1000</v>
      </c>
      <c r="I34" t="s">
        <v>746</v>
      </c>
    </row>
    <row r="35" spans="2:10" ht="13.5">
      <c r="B35" t="s">
        <v>756</v>
      </c>
      <c r="C35" s="21">
        <v>0.2</v>
      </c>
      <c r="E35" s="22" t="s">
        <v>747</v>
      </c>
      <c r="H35" s="21">
        <v>0.2</v>
      </c>
      <c r="J35" s="22" t="s">
        <v>747</v>
      </c>
    </row>
    <row r="36" spans="2:9" ht="13.5">
      <c r="B36" t="s">
        <v>744</v>
      </c>
      <c r="C36" s="19">
        <f>C33*C32/1000*C34*C35</f>
        <v>90</v>
      </c>
      <c r="D36" t="s">
        <v>745</v>
      </c>
      <c r="H36" s="19">
        <f>H33*H32/1000*H34*H35</f>
        <v>30</v>
      </c>
      <c r="I36" t="s">
        <v>745</v>
      </c>
    </row>
    <row r="37" spans="2:9" ht="13.5">
      <c r="B37" t="s">
        <v>65</v>
      </c>
      <c r="C37" s="19">
        <f>IF('質問'!H37="",0,C36*'質問'!H37/100)</f>
        <v>72</v>
      </c>
      <c r="D37" t="s">
        <v>745</v>
      </c>
      <c r="H37" s="19">
        <f>IF('質問'!L37="",0,H36*'質問'!L37/100)</f>
        <v>24</v>
      </c>
      <c r="I37" t="s">
        <v>745</v>
      </c>
    </row>
    <row r="38" spans="2:9" ht="13.5">
      <c r="B38" t="s">
        <v>66</v>
      </c>
      <c r="C38" s="19">
        <f>IF('質問'!F38=1,'回答算出'!C36,'回答算出'!C37)</f>
        <v>90</v>
      </c>
      <c r="D38" t="s">
        <v>745</v>
      </c>
      <c r="H38" s="19">
        <f>IF('質問'!J38=1,'回答算出'!H36,'回答算出'!H37)</f>
        <v>24</v>
      </c>
      <c r="I38" t="s">
        <v>745</v>
      </c>
    </row>
    <row r="40" ht="13.5">
      <c r="A40" t="str">
        <f>'質問'!B42</f>
        <v>Ｑ５．トイレの照明は、非使用時に消灯していますか？</v>
      </c>
    </row>
    <row r="42" spans="2:11" ht="13.5">
      <c r="B42" t="s">
        <v>758</v>
      </c>
      <c r="C42" s="19">
        <f>C3*E42/100</f>
        <v>45</v>
      </c>
      <c r="D42" t="s">
        <v>738</v>
      </c>
      <c r="E42" s="20">
        <v>3</v>
      </c>
      <c r="F42" t="s">
        <v>757</v>
      </c>
      <c r="H42" s="19">
        <f>H3*J42/100</f>
        <v>15</v>
      </c>
      <c r="I42" t="s">
        <v>738</v>
      </c>
      <c r="J42" s="20">
        <v>3</v>
      </c>
      <c r="K42" t="s">
        <v>757</v>
      </c>
    </row>
    <row r="43" spans="2:9" ht="13.5">
      <c r="B43" t="s">
        <v>736</v>
      </c>
      <c r="C43" s="20">
        <v>20</v>
      </c>
      <c r="D43" t="s">
        <v>737</v>
      </c>
      <c r="H43" s="20">
        <v>20</v>
      </c>
      <c r="I43" t="s">
        <v>737</v>
      </c>
    </row>
    <row r="44" spans="2:9" ht="13.5">
      <c r="B44" t="s">
        <v>755</v>
      </c>
      <c r="C44" s="20">
        <v>1000</v>
      </c>
      <c r="D44" t="s">
        <v>746</v>
      </c>
      <c r="H44" s="20">
        <v>1000</v>
      </c>
      <c r="I44" t="s">
        <v>746</v>
      </c>
    </row>
    <row r="45" spans="2:10" ht="13.5">
      <c r="B45" t="s">
        <v>756</v>
      </c>
      <c r="C45" s="21">
        <v>0.2</v>
      </c>
      <c r="E45" s="22" t="s">
        <v>747</v>
      </c>
      <c r="H45" s="21">
        <v>0.2</v>
      </c>
      <c r="J45" s="22" t="s">
        <v>747</v>
      </c>
    </row>
    <row r="46" spans="2:9" ht="13.5">
      <c r="B46" t="s">
        <v>744</v>
      </c>
      <c r="C46" s="19">
        <f>C43*C42/1000*C44*C45</f>
        <v>180</v>
      </c>
      <c r="D46" t="s">
        <v>745</v>
      </c>
      <c r="H46" s="19">
        <f>H43*H42/1000*H44*H45</f>
        <v>60</v>
      </c>
      <c r="I46" t="s">
        <v>745</v>
      </c>
    </row>
    <row r="47" spans="2:9" ht="13.5">
      <c r="B47" t="s">
        <v>65</v>
      </c>
      <c r="C47" s="19">
        <f>IF('質問'!H42="",0,C46*'質問'!H42/100)</f>
        <v>144</v>
      </c>
      <c r="D47" t="s">
        <v>745</v>
      </c>
      <c r="H47" s="19">
        <f>IF('質問'!L42="",0,H46*'質問'!L42/100)</f>
        <v>48</v>
      </c>
      <c r="I47" t="s">
        <v>745</v>
      </c>
    </row>
    <row r="48" spans="2:9" ht="13.5">
      <c r="B48" t="s">
        <v>66</v>
      </c>
      <c r="C48" s="19">
        <f>IF('質問'!F43=1,'回答算出'!C46,'回答算出'!C47)</f>
        <v>180</v>
      </c>
      <c r="D48" t="s">
        <v>745</v>
      </c>
      <c r="H48" s="19">
        <f>IF('質問'!J43=1,'回答算出'!H46,'回答算出'!H47)</f>
        <v>48</v>
      </c>
      <c r="I48" t="s">
        <v>745</v>
      </c>
    </row>
    <row r="50" ht="13.5">
      <c r="A50" t="str">
        <f>'質問'!B48</f>
        <v>Ｑ６．冷房の設定温度は、28℃にしていますか？</v>
      </c>
    </row>
    <row r="52" spans="2:10" ht="13.5">
      <c r="B52" t="s">
        <v>4</v>
      </c>
      <c r="C52" s="20">
        <v>350</v>
      </c>
      <c r="D52" t="s">
        <v>3</v>
      </c>
      <c r="E52" t="s">
        <v>1</v>
      </c>
      <c r="H52" s="20">
        <v>350</v>
      </c>
      <c r="I52" t="s">
        <v>3</v>
      </c>
      <c r="J52" t="s">
        <v>1</v>
      </c>
    </row>
    <row r="53" spans="2:9" ht="13.5">
      <c r="B53" t="s">
        <v>759</v>
      </c>
      <c r="C53" s="20">
        <v>800</v>
      </c>
      <c r="D53" t="s">
        <v>746</v>
      </c>
      <c r="H53" s="20">
        <v>800</v>
      </c>
      <c r="I53" t="s">
        <v>746</v>
      </c>
    </row>
    <row r="54" spans="2:10" ht="13.5">
      <c r="B54" t="s">
        <v>756</v>
      </c>
      <c r="C54" s="21">
        <v>0.08</v>
      </c>
      <c r="E54" s="22" t="s">
        <v>8</v>
      </c>
      <c r="H54" s="21">
        <v>0.08</v>
      </c>
      <c r="J54" s="22" t="s">
        <v>8</v>
      </c>
    </row>
    <row r="55" spans="2:9" ht="13.5">
      <c r="B55" t="s">
        <v>744</v>
      </c>
      <c r="C55" s="19">
        <f>C52*C3/1000*C53*C54</f>
        <v>33600</v>
      </c>
      <c r="D55" t="s">
        <v>5</v>
      </c>
      <c r="H55" s="19">
        <f>H52*H3/1000*H53*H54</f>
        <v>11200</v>
      </c>
      <c r="I55" t="s">
        <v>5</v>
      </c>
    </row>
    <row r="56" spans="2:9" ht="13.5">
      <c r="B56" t="s">
        <v>65</v>
      </c>
      <c r="C56" s="19">
        <f>IF('質問'!H48="",0,C55*'質問'!H48/100)</f>
        <v>26880</v>
      </c>
      <c r="D56" t="s">
        <v>5</v>
      </c>
      <c r="H56" s="19">
        <f>IF('質問'!L48="",0,H55*'質問'!L48/100)</f>
        <v>8960</v>
      </c>
      <c r="I56" t="s">
        <v>5</v>
      </c>
    </row>
    <row r="57" spans="2:9" ht="13.5">
      <c r="B57" t="s">
        <v>66</v>
      </c>
      <c r="C57" s="19">
        <f>IF('質問'!F49=1,'回答算出'!C55,'回答算出'!C56)</f>
        <v>33600</v>
      </c>
      <c r="D57" t="s">
        <v>5</v>
      </c>
      <c r="H57" s="19">
        <f>IF('質問'!J49=1,'回答算出'!H55,'回答算出'!H56)</f>
        <v>11200</v>
      </c>
      <c r="I57" t="s">
        <v>5</v>
      </c>
    </row>
    <row r="59" ht="13.5">
      <c r="A59" t="str">
        <f>'質問'!B53</f>
        <v>Ｑ７．暖房の設定温度は、20℃にしていますか？</v>
      </c>
    </row>
    <row r="61" spans="2:10" ht="13.5">
      <c r="B61" t="s">
        <v>0</v>
      </c>
      <c r="C61" s="20">
        <v>250</v>
      </c>
      <c r="D61" t="s">
        <v>2</v>
      </c>
      <c r="E61" t="s">
        <v>1</v>
      </c>
      <c r="H61" s="20">
        <v>250</v>
      </c>
      <c r="I61" t="s">
        <v>2</v>
      </c>
      <c r="J61" t="s">
        <v>1</v>
      </c>
    </row>
    <row r="62" spans="2:9" ht="13.5">
      <c r="B62" t="s">
        <v>759</v>
      </c>
      <c r="C62" s="20">
        <v>600</v>
      </c>
      <c r="D62" t="s">
        <v>746</v>
      </c>
      <c r="H62" s="20">
        <v>600</v>
      </c>
      <c r="I62" t="s">
        <v>746</v>
      </c>
    </row>
    <row r="63" spans="2:10" ht="13.5">
      <c r="B63" t="s">
        <v>756</v>
      </c>
      <c r="C63" s="24">
        <v>0.1</v>
      </c>
      <c r="E63" s="22" t="s">
        <v>7</v>
      </c>
      <c r="H63" s="24">
        <v>0.1</v>
      </c>
      <c r="J63" s="22" t="s">
        <v>7</v>
      </c>
    </row>
    <row r="64" spans="2:9" ht="13.5">
      <c r="B64" t="s">
        <v>744</v>
      </c>
      <c r="C64" s="19">
        <f>C61*C3/1000*C62*C63</f>
        <v>22500</v>
      </c>
      <c r="D64" t="s">
        <v>5</v>
      </c>
      <c r="H64" s="19">
        <f>H61*H3/1000*H62*H63</f>
        <v>7500</v>
      </c>
      <c r="I64" t="s">
        <v>5</v>
      </c>
    </row>
    <row r="65" spans="2:9" ht="13.5">
      <c r="B65" t="s">
        <v>65</v>
      </c>
      <c r="C65" s="19">
        <f>IF('質問'!H53="",0,C64*'質問'!H53/100)</f>
        <v>18000</v>
      </c>
      <c r="D65" t="s">
        <v>5</v>
      </c>
      <c r="H65" s="19">
        <f>IF('質問'!L53="",0,H64*'質問'!L53/100)</f>
        <v>6000</v>
      </c>
      <c r="I65" t="s">
        <v>5</v>
      </c>
    </row>
    <row r="66" spans="2:9" ht="13.5">
      <c r="B66" t="s">
        <v>66</v>
      </c>
      <c r="C66" s="19">
        <f>IF('質問'!F54=1,'回答算出'!C64,'回答算出'!C65)</f>
        <v>22500</v>
      </c>
      <c r="D66" t="s">
        <v>5</v>
      </c>
      <c r="H66" s="19">
        <f>IF('質問'!J54=1,'回答算出'!H64,'回答算出'!H65)</f>
        <v>7500</v>
      </c>
      <c r="I66" t="s">
        <v>5</v>
      </c>
    </row>
    <row r="68" ht="13.5">
      <c r="A68" t="str">
        <f>'質問'!B58</f>
        <v>Ｑ８．使用していない部屋の空調は消していますか？</v>
      </c>
    </row>
    <row r="70" spans="2:11" ht="13.5">
      <c r="B70" t="s">
        <v>64</v>
      </c>
      <c r="C70" s="19">
        <f>C3*E70/100</f>
        <v>75</v>
      </c>
      <c r="D70" t="s">
        <v>738</v>
      </c>
      <c r="E70" s="20">
        <v>5</v>
      </c>
      <c r="F70" t="s">
        <v>6</v>
      </c>
      <c r="H70" s="19">
        <f>H3*J70/100</f>
        <v>25</v>
      </c>
      <c r="I70" t="s">
        <v>738</v>
      </c>
      <c r="J70" s="20">
        <v>5</v>
      </c>
      <c r="K70" t="s">
        <v>6</v>
      </c>
    </row>
    <row r="71" spans="2:10" ht="13.5">
      <c r="B71" t="s">
        <v>756</v>
      </c>
      <c r="C71" s="21">
        <v>0.5</v>
      </c>
      <c r="E71" s="22" t="s">
        <v>67</v>
      </c>
      <c r="H71" s="21">
        <v>0.5</v>
      </c>
      <c r="J71" s="22" t="s">
        <v>67</v>
      </c>
    </row>
    <row r="72" spans="2:9" ht="13.5">
      <c r="B72" t="s">
        <v>744</v>
      </c>
      <c r="C72" s="19">
        <f>C70/1000*(C52*C53+C61*C62)*C71</f>
        <v>16125</v>
      </c>
      <c r="D72" t="s">
        <v>5</v>
      </c>
      <c r="H72" s="19">
        <f>H70/1000*(H52*H53+H61*H62)*H71</f>
        <v>5375</v>
      </c>
      <c r="I72" t="s">
        <v>5</v>
      </c>
    </row>
    <row r="73" spans="2:9" ht="13.5">
      <c r="B73" t="s">
        <v>65</v>
      </c>
      <c r="C73" s="19">
        <f>IF('質問'!H58="",0,C72*'質問'!H58/100)</f>
        <v>3225</v>
      </c>
      <c r="D73" t="s">
        <v>5</v>
      </c>
      <c r="H73" s="19">
        <f>IF('質問'!L58="",0,H72*'質問'!L58/100)</f>
        <v>5375</v>
      </c>
      <c r="I73" t="s">
        <v>5</v>
      </c>
    </row>
    <row r="74" spans="2:9" ht="13.5">
      <c r="B74" t="s">
        <v>66</v>
      </c>
      <c r="C74" s="19">
        <f>IF('質問'!F59=1,'回答算出'!C72,'回答算出'!C73)</f>
        <v>16125</v>
      </c>
      <c r="D74" t="s">
        <v>5</v>
      </c>
      <c r="H74" s="19">
        <f>IF('質問'!J59=1,'回答算出'!H72,'回答算出'!H73)</f>
        <v>5375</v>
      </c>
      <c r="I74" t="s">
        <v>5</v>
      </c>
    </row>
    <row r="76" ht="13.5">
      <c r="A76" t="str">
        <f>'質問'!B63</f>
        <v>Ｑ９．冷暖房時に窓・扉は閉めていますか？</v>
      </c>
    </row>
    <row r="78" spans="2:10" ht="13.5">
      <c r="B78" t="s">
        <v>756</v>
      </c>
      <c r="C78" s="21">
        <v>0.03</v>
      </c>
      <c r="E78" s="22" t="s">
        <v>68</v>
      </c>
      <c r="H78" s="21">
        <v>0.03</v>
      </c>
      <c r="J78" s="22" t="s">
        <v>68</v>
      </c>
    </row>
    <row r="79" spans="2:9" ht="13.5">
      <c r="B79" t="s">
        <v>744</v>
      </c>
      <c r="C79" s="19">
        <f>C3/1000*(C52*C53+C61*C62)*C78</f>
        <v>19350</v>
      </c>
      <c r="D79" t="s">
        <v>5</v>
      </c>
      <c r="H79" s="19">
        <f>H3/1000*(H52*H53+H61*H62)*H78</f>
        <v>6450</v>
      </c>
      <c r="I79" t="s">
        <v>5</v>
      </c>
    </row>
    <row r="80" spans="2:9" ht="13.5">
      <c r="B80" t="s">
        <v>65</v>
      </c>
      <c r="C80" s="19">
        <f>IF('質問'!H63="",0,C79*'質問'!H63/100)</f>
        <v>15480</v>
      </c>
      <c r="D80" t="s">
        <v>5</v>
      </c>
      <c r="H80" s="19">
        <f>IF('質問'!L63="",0,H79*'質問'!L63/100)</f>
        <v>5160</v>
      </c>
      <c r="I80" t="s">
        <v>5</v>
      </c>
    </row>
    <row r="81" spans="2:9" ht="13.5">
      <c r="B81" t="s">
        <v>66</v>
      </c>
      <c r="C81" s="19">
        <f>IF('質問'!F64=1,'回答算出'!C79,'回答算出'!C80)</f>
        <v>19350</v>
      </c>
      <c r="D81" t="s">
        <v>5</v>
      </c>
      <c r="H81" s="19">
        <f>IF('質問'!J64=1,'回答算出'!H79,'回答算出'!H80)</f>
        <v>6450</v>
      </c>
      <c r="I81" t="s">
        <v>5</v>
      </c>
    </row>
    <row r="83" ht="13.5">
      <c r="A83" t="str">
        <f>'質問'!B69</f>
        <v>Ｑ１０．昼間の冷房時にブラインドを降ろしていますか？</v>
      </c>
    </row>
    <row r="85" spans="2:10" ht="13.5">
      <c r="B85" t="s">
        <v>756</v>
      </c>
      <c r="C85" s="21">
        <v>0.04</v>
      </c>
      <c r="E85" s="22" t="s">
        <v>68</v>
      </c>
      <c r="H85" s="21">
        <v>0.04</v>
      </c>
      <c r="J85" s="22" t="s">
        <v>68</v>
      </c>
    </row>
    <row r="86" spans="2:9" ht="13.5">
      <c r="B86" t="s">
        <v>744</v>
      </c>
      <c r="C86" s="19">
        <f>C3/1000*C52*C53*C85</f>
        <v>16800</v>
      </c>
      <c r="D86" t="s">
        <v>5</v>
      </c>
      <c r="H86" s="19">
        <f>H3/1000*H52*H53*H85</f>
        <v>5600</v>
      </c>
      <c r="I86" t="s">
        <v>5</v>
      </c>
    </row>
    <row r="87" spans="2:9" ht="13.5">
      <c r="B87" t="s">
        <v>65</v>
      </c>
      <c r="C87" s="19">
        <f>IF('質問'!H69="",0,C86*'質問'!H69/100)</f>
        <v>13440</v>
      </c>
      <c r="D87" t="s">
        <v>5</v>
      </c>
      <c r="H87" s="19">
        <f>IF('質問'!L69="",0,H86*'質問'!L69/100)</f>
        <v>4480</v>
      </c>
      <c r="I87" t="s">
        <v>5</v>
      </c>
    </row>
    <row r="88" spans="2:9" ht="13.5">
      <c r="B88" t="s">
        <v>66</v>
      </c>
      <c r="C88" s="19">
        <f>IF('質問'!F70=1,'回答算出'!C86,'回答算出'!C87)</f>
        <v>16800</v>
      </c>
      <c r="D88" t="s">
        <v>5</v>
      </c>
      <c r="H88" s="19">
        <f>IF('質問'!J70=1,'回答算出'!H86,'回答算出'!H87)</f>
        <v>4480</v>
      </c>
      <c r="I88" t="s">
        <v>5</v>
      </c>
    </row>
    <row r="90" ht="13.5">
      <c r="A90" t="str">
        <f>'質問'!B74</f>
        <v>Ｑ１１．退庁時にブラインドを降ろしていますか？</v>
      </c>
    </row>
    <row r="92" spans="2:10" ht="13.5">
      <c r="B92" t="s">
        <v>756</v>
      </c>
      <c r="C92" s="21">
        <v>0.01</v>
      </c>
      <c r="E92" s="22" t="s">
        <v>68</v>
      </c>
      <c r="H92" s="21">
        <v>0.01</v>
      </c>
      <c r="J92" s="22" t="s">
        <v>68</v>
      </c>
    </row>
    <row r="93" spans="2:9" ht="13.5">
      <c r="B93" t="s">
        <v>744</v>
      </c>
      <c r="C93" s="19">
        <f>C3/1000*C52*C53*C92</f>
        <v>4200</v>
      </c>
      <c r="D93" t="s">
        <v>5</v>
      </c>
      <c r="H93" s="19">
        <f>H3/1000*H52*H53*H92</f>
        <v>1400</v>
      </c>
      <c r="I93" t="s">
        <v>5</v>
      </c>
    </row>
    <row r="94" spans="2:9" ht="13.5">
      <c r="B94" t="s">
        <v>65</v>
      </c>
      <c r="C94" s="19">
        <f>IF('質問'!H74="",0,C93*'質問'!H74/100)</f>
        <v>3360</v>
      </c>
      <c r="D94" t="s">
        <v>5</v>
      </c>
      <c r="H94" s="19">
        <f>IF('質問'!L74="",0,H93*'質問'!L74/100)</f>
        <v>1120</v>
      </c>
      <c r="I94" t="s">
        <v>5</v>
      </c>
    </row>
    <row r="95" spans="2:9" ht="13.5">
      <c r="B95" t="s">
        <v>66</v>
      </c>
      <c r="C95" s="19">
        <f>IF('質問'!F75=1,'回答算出'!C93,'回答算出'!C94)</f>
        <v>4200</v>
      </c>
      <c r="D95" t="s">
        <v>5</v>
      </c>
      <c r="H95" s="19">
        <f>IF('質問'!J75=1,'回答算出'!H93,'回答算出'!H94)</f>
        <v>1120</v>
      </c>
      <c r="I95" t="s">
        <v>5</v>
      </c>
    </row>
    <row r="97" ht="13.5">
      <c r="A97" t="str">
        <f>'質問'!B79</f>
        <v>Ｑ１２．昼食時・退庁時はデスクライトを消していますか？</v>
      </c>
    </row>
    <row r="99" spans="2:9" ht="13.5">
      <c r="B99" t="s">
        <v>69</v>
      </c>
      <c r="C99" s="20">
        <v>5</v>
      </c>
      <c r="D99" t="s">
        <v>737</v>
      </c>
      <c r="H99" s="20">
        <v>5</v>
      </c>
      <c r="I99" t="s">
        <v>737</v>
      </c>
    </row>
    <row r="100" spans="2:10" ht="13.5">
      <c r="B100" t="s">
        <v>740</v>
      </c>
      <c r="C100" s="21">
        <v>0.5</v>
      </c>
      <c r="D100" t="s">
        <v>649</v>
      </c>
      <c r="E100" s="22" t="s">
        <v>751</v>
      </c>
      <c r="H100" s="21">
        <v>0.5</v>
      </c>
      <c r="I100" t="s">
        <v>649</v>
      </c>
      <c r="J100" s="22" t="s">
        <v>751</v>
      </c>
    </row>
    <row r="101" spans="2:9" ht="13.5">
      <c r="B101" t="s">
        <v>741</v>
      </c>
      <c r="C101" s="21">
        <v>200</v>
      </c>
      <c r="D101" t="s">
        <v>742</v>
      </c>
      <c r="H101" s="21">
        <v>200</v>
      </c>
      <c r="I101" t="s">
        <v>742</v>
      </c>
    </row>
    <row r="102" spans="2:8" ht="13.5">
      <c r="B102" t="s">
        <v>74</v>
      </c>
      <c r="C102" s="21">
        <v>0.5</v>
      </c>
      <c r="H102" s="21">
        <v>0.5</v>
      </c>
    </row>
    <row r="103" spans="2:9" ht="13.5">
      <c r="B103" t="s">
        <v>744</v>
      </c>
      <c r="C103" s="19">
        <f>C99*C4/1000*C100*C101*C102</f>
        <v>225</v>
      </c>
      <c r="D103" t="s">
        <v>745</v>
      </c>
      <c r="H103" s="19">
        <f>H99*H4/1000*H100*H101*H102</f>
        <v>75</v>
      </c>
      <c r="I103" t="s">
        <v>745</v>
      </c>
    </row>
    <row r="104" spans="2:9" ht="13.5">
      <c r="B104" t="s">
        <v>65</v>
      </c>
      <c r="C104" s="19">
        <f>IF('質問'!H79="",0,C103*'質問'!H79/100)</f>
        <v>180</v>
      </c>
      <c r="D104" t="s">
        <v>745</v>
      </c>
      <c r="H104" s="19">
        <f>IF('質問'!L79="",0,H103*'質問'!L79/100)</f>
        <v>60</v>
      </c>
      <c r="I104" t="s">
        <v>745</v>
      </c>
    </row>
    <row r="105" spans="2:9" ht="13.5">
      <c r="B105" t="s">
        <v>66</v>
      </c>
      <c r="C105" s="19">
        <f>IF('質問'!F80=1,'回答算出'!C103,'回答算出'!C104)</f>
        <v>225</v>
      </c>
      <c r="D105" t="s">
        <v>745</v>
      </c>
      <c r="H105" s="19">
        <f>IF('質問'!J80=1,'回答算出'!H103,'回答算出'!H104)</f>
        <v>60</v>
      </c>
      <c r="I105" t="s">
        <v>745</v>
      </c>
    </row>
    <row r="107" ht="13.5">
      <c r="A107" t="str">
        <f>'質問'!B84</f>
        <v>Ｑ１３．退庁時はパソコンの電源を消していますか？</v>
      </c>
    </row>
    <row r="109" spans="2:9" ht="13.5">
      <c r="B109" t="s">
        <v>70</v>
      </c>
      <c r="C109" s="20">
        <v>15</v>
      </c>
      <c r="D109" t="s">
        <v>737</v>
      </c>
      <c r="H109" s="20">
        <v>15</v>
      </c>
      <c r="I109" t="s">
        <v>737</v>
      </c>
    </row>
    <row r="110" spans="2:10" ht="13.5">
      <c r="B110" t="s">
        <v>73</v>
      </c>
      <c r="C110" s="21">
        <v>5</v>
      </c>
      <c r="D110" t="s">
        <v>649</v>
      </c>
      <c r="E110" s="22" t="s">
        <v>71</v>
      </c>
      <c r="H110" s="21">
        <v>5</v>
      </c>
      <c r="I110" t="s">
        <v>649</v>
      </c>
      <c r="J110" s="22" t="s">
        <v>71</v>
      </c>
    </row>
    <row r="111" spans="2:9" ht="13.5">
      <c r="B111" t="s">
        <v>741</v>
      </c>
      <c r="C111" s="21">
        <v>200</v>
      </c>
      <c r="D111" t="s">
        <v>742</v>
      </c>
      <c r="H111" s="21">
        <v>200</v>
      </c>
      <c r="I111" t="s">
        <v>742</v>
      </c>
    </row>
    <row r="112" spans="2:8" ht="13.5">
      <c r="B112" t="s">
        <v>74</v>
      </c>
      <c r="C112" s="21">
        <v>0.5</v>
      </c>
      <c r="H112" s="21">
        <v>0.5</v>
      </c>
    </row>
    <row r="113" spans="2:9" ht="13.5">
      <c r="B113" t="s">
        <v>744</v>
      </c>
      <c r="C113" s="19">
        <f>C109*C4/1000*C110*C111*C112</f>
        <v>6750</v>
      </c>
      <c r="D113" t="s">
        <v>745</v>
      </c>
      <c r="H113" s="19">
        <f>H109*H4/1000*H110*H111*H112</f>
        <v>2250</v>
      </c>
      <c r="I113" t="s">
        <v>745</v>
      </c>
    </row>
    <row r="114" spans="2:9" ht="13.5">
      <c r="B114" t="s">
        <v>65</v>
      </c>
      <c r="C114" s="19">
        <f>IF('質問'!H84="",0,C113*'質問'!H84/100)</f>
        <v>5400</v>
      </c>
      <c r="D114" t="s">
        <v>745</v>
      </c>
      <c r="H114" s="19">
        <f>IF('質問'!L84="",0,H113*'質問'!L84/100)</f>
        <v>1800</v>
      </c>
      <c r="I114" t="s">
        <v>745</v>
      </c>
    </row>
    <row r="115" spans="2:9" ht="13.5">
      <c r="B115" t="s">
        <v>66</v>
      </c>
      <c r="C115" s="19">
        <f>IF('質問'!F85=1,'回答算出'!C113,'回答算出'!C114)</f>
        <v>6750</v>
      </c>
      <c r="D115" t="s">
        <v>745</v>
      </c>
      <c r="H115" s="19">
        <f>IF('質問'!J85=1,'回答算出'!H113,'回答算出'!H114)</f>
        <v>1800</v>
      </c>
      <c r="I115" t="s">
        <v>745</v>
      </c>
    </row>
    <row r="117" ht="13.5">
      <c r="A117" t="str">
        <f>'質問'!B89</f>
        <v>Ｑ１４．省エネ型のOA機器を選定していますか？</v>
      </c>
    </row>
    <row r="119" spans="2:9" ht="13.5">
      <c r="B119" t="s">
        <v>72</v>
      </c>
      <c r="C119" s="20">
        <v>5</v>
      </c>
      <c r="D119" t="s">
        <v>737</v>
      </c>
      <c r="H119" s="20">
        <v>5</v>
      </c>
      <c r="I119" t="s">
        <v>737</v>
      </c>
    </row>
    <row r="120" spans="2:10" ht="13.5">
      <c r="B120" t="s">
        <v>75</v>
      </c>
      <c r="C120" s="21">
        <v>10</v>
      </c>
      <c r="D120" t="s">
        <v>649</v>
      </c>
      <c r="E120" s="22"/>
      <c r="H120" s="21">
        <v>10</v>
      </c>
      <c r="I120" t="s">
        <v>649</v>
      </c>
      <c r="J120" s="22"/>
    </row>
    <row r="121" spans="2:9" ht="13.5">
      <c r="B121" t="s">
        <v>741</v>
      </c>
      <c r="C121" s="21">
        <v>200</v>
      </c>
      <c r="D121" t="s">
        <v>742</v>
      </c>
      <c r="H121" s="21">
        <v>200</v>
      </c>
      <c r="I121" t="s">
        <v>742</v>
      </c>
    </row>
    <row r="122" spans="2:8" ht="13.5">
      <c r="B122" t="s">
        <v>74</v>
      </c>
      <c r="C122" s="21">
        <v>0.5</v>
      </c>
      <c r="H122" s="21">
        <v>0.5</v>
      </c>
    </row>
    <row r="123" spans="2:8" ht="13.5">
      <c r="B123" t="s">
        <v>756</v>
      </c>
      <c r="C123" s="21">
        <v>0.1</v>
      </c>
      <c r="H123" s="21">
        <v>0.1</v>
      </c>
    </row>
    <row r="124" spans="2:9" ht="13.5">
      <c r="B124" t="s">
        <v>744</v>
      </c>
      <c r="C124" s="19">
        <f>C119*C4/1000*C120*C121*C122*C123</f>
        <v>450</v>
      </c>
      <c r="D124" t="s">
        <v>745</v>
      </c>
      <c r="H124" s="19">
        <f>H119*H4/1000*H120*H121*H122*H123</f>
        <v>150</v>
      </c>
      <c r="I124" t="s">
        <v>745</v>
      </c>
    </row>
    <row r="125" spans="2:9" ht="13.5">
      <c r="B125" t="s">
        <v>65</v>
      </c>
      <c r="C125" s="19">
        <f>IF('質問'!H89="",0,C124*'質問'!H89/100)</f>
        <v>360</v>
      </c>
      <c r="D125" t="s">
        <v>745</v>
      </c>
      <c r="H125" s="19">
        <f>IF('質問'!L89="",0,H124*'質問'!L89/100)</f>
        <v>120</v>
      </c>
      <c r="I125" t="s">
        <v>745</v>
      </c>
    </row>
    <row r="126" spans="2:9" ht="13.5">
      <c r="B126" t="s">
        <v>66</v>
      </c>
      <c r="C126" s="19">
        <f>IF('質問'!F90=1,'回答算出'!C124,'回答算出'!C125)</f>
        <v>450</v>
      </c>
      <c r="D126" t="s">
        <v>745</v>
      </c>
      <c r="H126" s="19">
        <f>IF('質問'!J90=1,'回答算出'!H124,'回答算出'!H125)</f>
        <v>120</v>
      </c>
      <c r="I126" t="s">
        <v>745</v>
      </c>
    </row>
    <row r="128" ht="13.5">
      <c r="A128" t="str">
        <f>'質問'!B94</f>
        <v>Ｑ１５．パソコンは、液晶ディスプレイ（ノート型を含む）ですか？</v>
      </c>
    </row>
    <row r="130" spans="2:10" ht="13.5">
      <c r="B130" t="s">
        <v>75</v>
      </c>
      <c r="C130" s="21">
        <v>10</v>
      </c>
      <c r="D130" t="s">
        <v>649</v>
      </c>
      <c r="E130" s="22"/>
      <c r="H130" s="21">
        <v>10</v>
      </c>
      <c r="I130" t="s">
        <v>649</v>
      </c>
      <c r="J130" s="22"/>
    </row>
    <row r="131" spans="2:8" ht="13.5">
      <c r="B131" t="s">
        <v>74</v>
      </c>
      <c r="C131" s="21">
        <v>0.8</v>
      </c>
      <c r="H131" s="21">
        <v>0.5</v>
      </c>
    </row>
    <row r="132" spans="2:10" ht="13.5">
      <c r="B132" t="s">
        <v>756</v>
      </c>
      <c r="C132" s="21">
        <v>0.8</v>
      </c>
      <c r="E132" s="22" t="s">
        <v>76</v>
      </c>
      <c r="H132" s="21">
        <v>0.8</v>
      </c>
      <c r="J132" s="22" t="s">
        <v>76</v>
      </c>
    </row>
    <row r="133" spans="2:9" ht="13.5">
      <c r="B133" t="s">
        <v>744</v>
      </c>
      <c r="C133" s="19">
        <f>C4*C109*C130*C111*C131*C132/1000</f>
        <v>17280</v>
      </c>
      <c r="D133" t="s">
        <v>745</v>
      </c>
      <c r="H133" s="19">
        <f>H4*H109*H130*H111*H131*H132/1000</f>
        <v>3600</v>
      </c>
      <c r="I133" t="s">
        <v>745</v>
      </c>
    </row>
    <row r="134" spans="2:9" ht="13.5">
      <c r="B134" t="s">
        <v>65</v>
      </c>
      <c r="C134" s="19">
        <f>IF('質問'!H94="",0,C133*'質問'!H94/100)</f>
        <v>13824</v>
      </c>
      <c r="D134" t="s">
        <v>745</v>
      </c>
      <c r="H134" s="19">
        <f>IF('質問'!L94="",0,H133*'質問'!L94/100)</f>
        <v>2880</v>
      </c>
      <c r="I134" t="s">
        <v>745</v>
      </c>
    </row>
    <row r="135" spans="2:9" ht="13.5">
      <c r="B135" t="s">
        <v>66</v>
      </c>
      <c r="C135" s="19">
        <f>IF('質問'!F95=1,'回答算出'!C133,'回答算出'!C134)</f>
        <v>17280</v>
      </c>
      <c r="D135" t="s">
        <v>745</v>
      </c>
      <c r="H135" s="19">
        <f>IF('質問'!J95=1,'回答算出'!H133,'回答算出'!H134)</f>
        <v>2880</v>
      </c>
      <c r="I135" t="s">
        <v>745</v>
      </c>
    </row>
    <row r="137" ht="13.5">
      <c r="A137" t="str">
        <f>'質問'!B99</f>
        <v>Ｑ１６．コピー機の省電力モードは使っていますか？</v>
      </c>
    </row>
    <row r="139" spans="2:9" ht="13.5">
      <c r="B139" t="s">
        <v>77</v>
      </c>
      <c r="C139" s="20">
        <v>10</v>
      </c>
      <c r="D139" t="s">
        <v>737</v>
      </c>
      <c r="H139" s="20">
        <v>10</v>
      </c>
      <c r="I139" t="s">
        <v>737</v>
      </c>
    </row>
    <row r="140" spans="2:10" ht="13.5">
      <c r="B140" t="s">
        <v>75</v>
      </c>
      <c r="C140" s="21">
        <v>10</v>
      </c>
      <c r="D140" t="s">
        <v>649</v>
      </c>
      <c r="E140" s="22"/>
      <c r="H140" s="21">
        <v>10</v>
      </c>
      <c r="I140" t="s">
        <v>649</v>
      </c>
      <c r="J140" s="22"/>
    </row>
    <row r="141" spans="2:9" ht="13.5">
      <c r="B141" t="s">
        <v>741</v>
      </c>
      <c r="C141" s="21">
        <v>200</v>
      </c>
      <c r="D141" t="s">
        <v>742</v>
      </c>
      <c r="H141" s="21">
        <v>200</v>
      </c>
      <c r="I141" t="s">
        <v>742</v>
      </c>
    </row>
    <row r="142" spans="2:8" ht="13.5">
      <c r="B142" t="s">
        <v>78</v>
      </c>
      <c r="C142" s="25">
        <v>0.2</v>
      </c>
      <c r="H142" s="21">
        <v>0.2</v>
      </c>
    </row>
    <row r="143" spans="2:10" ht="13.5">
      <c r="B143" t="s">
        <v>756</v>
      </c>
      <c r="C143" s="21">
        <v>0.8</v>
      </c>
      <c r="E143" s="22" t="s">
        <v>79</v>
      </c>
      <c r="H143" s="21">
        <v>0.8</v>
      </c>
      <c r="J143" s="22" t="s">
        <v>79</v>
      </c>
    </row>
    <row r="144" spans="2:9" ht="13.5">
      <c r="B144" t="s">
        <v>744</v>
      </c>
      <c r="C144" s="19">
        <f>C4*C141*C140*C139*C142*C143/1000</f>
        <v>2880</v>
      </c>
      <c r="D144" t="s">
        <v>745</v>
      </c>
      <c r="H144" s="19">
        <f>H4*H141*H140*H139*H142*H143/1000</f>
        <v>960</v>
      </c>
      <c r="I144" t="s">
        <v>745</v>
      </c>
    </row>
    <row r="145" spans="2:9" ht="13.5">
      <c r="B145" t="s">
        <v>65</v>
      </c>
      <c r="C145" s="19">
        <f>IF('質問'!H99="",0,C144*'質問'!H99/100)</f>
        <v>2304</v>
      </c>
      <c r="D145" t="s">
        <v>745</v>
      </c>
      <c r="H145" s="19">
        <f>IF('質問'!L99="",0,H144*'質問'!L99/100)</f>
        <v>960</v>
      </c>
      <c r="I145" t="s">
        <v>745</v>
      </c>
    </row>
    <row r="146" spans="2:9" ht="13.5">
      <c r="B146" t="s">
        <v>66</v>
      </c>
      <c r="C146" s="19">
        <f>IF('質問'!F100=1,'回答算出'!C144,'回答算出'!C145)</f>
        <v>2880</v>
      </c>
      <c r="D146" t="s">
        <v>745</v>
      </c>
      <c r="H146" s="19">
        <f>IF('質問'!J100=1,'回答算出'!H144,'回答算出'!H145)</f>
        <v>960</v>
      </c>
      <c r="I146" t="s">
        <v>745</v>
      </c>
    </row>
    <row r="148" ht="13.5">
      <c r="A148" t="str">
        <f>'質問'!B105</f>
        <v>Ｑ１７．職員に省エネ活動は呼びかけていますか？
　例：省エネポスターを貼るなど</v>
      </c>
    </row>
    <row r="150" spans="2:5" ht="13.5">
      <c r="B150" t="s">
        <v>85</v>
      </c>
      <c r="C150" s="21">
        <v>1700</v>
      </c>
      <c r="D150" t="s">
        <v>86</v>
      </c>
      <c r="E150" t="s">
        <v>1</v>
      </c>
    </row>
    <row r="151" spans="2:6" ht="13.5">
      <c r="B151" t="s">
        <v>756</v>
      </c>
      <c r="C151" s="21">
        <v>0.01</v>
      </c>
      <c r="E151" s="22">
        <v>3</v>
      </c>
      <c r="F151" s="22" t="s">
        <v>93</v>
      </c>
    </row>
    <row r="152" spans="2:4" ht="13.5">
      <c r="B152" t="s">
        <v>744</v>
      </c>
      <c r="C152" s="19">
        <f>(C3+H3)*C150*C151</f>
        <v>34000</v>
      </c>
      <c r="D152" t="s">
        <v>5</v>
      </c>
    </row>
    <row r="153" spans="2:4" ht="13.5">
      <c r="B153" t="s">
        <v>65</v>
      </c>
      <c r="C153" s="19">
        <f>IF('質問'!G105="",IF('質問'!F105=1,1,0),E151/'質問'!G105)*C152</f>
        <v>34000</v>
      </c>
      <c r="D153" t="s">
        <v>5</v>
      </c>
    </row>
    <row r="154" spans="2:4" ht="13.5">
      <c r="B154" t="s">
        <v>66</v>
      </c>
      <c r="C154" s="19">
        <f>IF(OR('質問'!G105&gt;E151,'質問'!F106=1),'回答算出'!C152,'回答算出'!C153)</f>
        <v>34000</v>
      </c>
      <c r="D154" t="s">
        <v>5</v>
      </c>
    </row>
    <row r="156" spans="1:14" ht="13.5">
      <c r="A156" s="285" t="str">
        <f>'質問'!B109</f>
        <v>Ｑ１８．最寄階への移動は、階段を使うように呼びかけていますか？</v>
      </c>
      <c r="B156" s="285"/>
      <c r="C156" s="285"/>
      <c r="D156" s="285"/>
      <c r="E156" s="285"/>
      <c r="F156" s="285"/>
      <c r="G156" s="285"/>
      <c r="H156" s="285"/>
      <c r="I156" s="285"/>
      <c r="J156" s="285"/>
      <c r="K156" s="285"/>
      <c r="L156" s="285"/>
      <c r="M156" s="285"/>
      <c r="N156" s="285"/>
    </row>
    <row r="157" spans="1:14" ht="13.5">
      <c r="A157" s="285"/>
      <c r="B157" s="285"/>
      <c r="C157" s="285"/>
      <c r="D157" s="285"/>
      <c r="E157" s="285"/>
      <c r="F157" s="285"/>
      <c r="G157" s="285"/>
      <c r="H157" s="285"/>
      <c r="I157" s="285"/>
      <c r="J157" s="285"/>
      <c r="K157" s="285"/>
      <c r="L157" s="285"/>
      <c r="M157" s="285"/>
      <c r="N157" s="285"/>
    </row>
    <row r="158" spans="1:14" ht="13.5">
      <c r="A158" s="285"/>
      <c r="B158" s="285" t="s">
        <v>9</v>
      </c>
      <c r="C158" s="285">
        <f>ROUND('質問'!E8/2150+1.8,0)</f>
        <v>3</v>
      </c>
      <c r="D158" s="285" t="s">
        <v>10</v>
      </c>
      <c r="E158" s="285"/>
      <c r="F158" s="285"/>
      <c r="G158" s="285"/>
      <c r="H158" s="285">
        <f>C158</f>
        <v>3</v>
      </c>
      <c r="I158" s="285" t="s">
        <v>10</v>
      </c>
      <c r="J158" s="285"/>
      <c r="K158" s="285"/>
      <c r="L158" s="285"/>
      <c r="M158" s="285"/>
      <c r="N158" s="285"/>
    </row>
    <row r="159" spans="1:14" ht="13.5">
      <c r="A159" s="285"/>
      <c r="B159" s="285" t="s">
        <v>63</v>
      </c>
      <c r="C159" s="285">
        <f>IF(C158&lt;=2,0,IF(OR(C158&lt;=4,C3&lt;=4000),0.3,0.2)*C3*0.1*0.8)</f>
        <v>36</v>
      </c>
      <c r="D159" s="285" t="s">
        <v>62</v>
      </c>
      <c r="E159" s="286"/>
      <c r="F159" s="285"/>
      <c r="G159" s="285"/>
      <c r="H159" s="285">
        <f>IF(H158&lt;=2,0,IF(OR(H158&lt;=4,H3&lt;=4000),0.3,0.2)*H3*0.1*0.8)</f>
        <v>12</v>
      </c>
      <c r="I159" s="285" t="s">
        <v>62</v>
      </c>
      <c r="J159" s="286"/>
      <c r="K159" s="285"/>
      <c r="L159" s="285"/>
      <c r="M159" s="285"/>
      <c r="N159" s="285"/>
    </row>
    <row r="160" spans="1:14" ht="13.5">
      <c r="A160" s="285"/>
      <c r="B160" s="285" t="s">
        <v>759</v>
      </c>
      <c r="C160" s="287">
        <v>2000</v>
      </c>
      <c r="D160" s="285" t="s">
        <v>746</v>
      </c>
      <c r="E160" s="285"/>
      <c r="F160" s="285"/>
      <c r="G160" s="285"/>
      <c r="H160" s="287">
        <v>2000</v>
      </c>
      <c r="I160" s="285" t="s">
        <v>746</v>
      </c>
      <c r="J160" s="285"/>
      <c r="K160" s="285"/>
      <c r="L160" s="285"/>
      <c r="M160" s="285"/>
      <c r="N160" s="285"/>
    </row>
    <row r="161" spans="1:14" ht="13.5">
      <c r="A161" s="285"/>
      <c r="B161" s="285" t="s">
        <v>419</v>
      </c>
      <c r="C161" s="288">
        <v>40</v>
      </c>
      <c r="D161" s="285"/>
      <c r="E161" s="286"/>
      <c r="F161" s="285"/>
      <c r="G161" s="285"/>
      <c r="H161" s="288">
        <v>40</v>
      </c>
      <c r="I161" s="285"/>
      <c r="J161" s="286"/>
      <c r="K161" s="285"/>
      <c r="L161" s="285"/>
      <c r="M161" s="285"/>
      <c r="N161" s="285"/>
    </row>
    <row r="162" spans="1:14" ht="13.5">
      <c r="A162" s="285"/>
      <c r="B162" s="285" t="s">
        <v>756</v>
      </c>
      <c r="C162" s="288">
        <v>0.2</v>
      </c>
      <c r="D162" s="285"/>
      <c r="E162" s="286">
        <v>3</v>
      </c>
      <c r="F162" s="286" t="s">
        <v>615</v>
      </c>
      <c r="G162" s="285"/>
      <c r="H162" s="288">
        <v>0.2</v>
      </c>
      <c r="I162" s="285"/>
      <c r="J162" s="286">
        <v>3</v>
      </c>
      <c r="K162" s="286" t="s">
        <v>615</v>
      </c>
      <c r="L162" s="285"/>
      <c r="M162" s="285"/>
      <c r="N162" s="285"/>
    </row>
    <row r="163" spans="1:14" ht="13.5">
      <c r="A163" s="285"/>
      <c r="B163" s="285" t="s">
        <v>744</v>
      </c>
      <c r="C163" s="289">
        <f>C159/5*70*4*C158/C161*C160/860*C162</f>
        <v>70.32558139534885</v>
      </c>
      <c r="D163" s="285" t="s">
        <v>745</v>
      </c>
      <c r="E163" s="286"/>
      <c r="F163" s="285"/>
      <c r="G163" s="285"/>
      <c r="H163" s="289">
        <f>H159/5*70*4*H158/H161*H160/860*H162</f>
        <v>23.441860465116278</v>
      </c>
      <c r="I163" s="285" t="s">
        <v>745</v>
      </c>
      <c r="J163" s="286">
        <v>12</v>
      </c>
      <c r="K163" s="286" t="s">
        <v>616</v>
      </c>
      <c r="L163" s="285"/>
      <c r="M163" s="285"/>
      <c r="N163" s="285"/>
    </row>
    <row r="164" spans="1:14" ht="13.5">
      <c r="A164" s="285"/>
      <c r="B164" s="285" t="s">
        <v>65</v>
      </c>
      <c r="C164" s="289">
        <f>IF('質問'!G109="",0,C163*12/'質問'!G109*0.25)</f>
        <v>70.32558139534885</v>
      </c>
      <c r="D164" s="285" t="s">
        <v>745</v>
      </c>
      <c r="E164" s="285"/>
      <c r="F164" s="285"/>
      <c r="G164" s="285"/>
      <c r="H164" s="289">
        <f>IF('質問'!K109="",0,H163*12/'質問'!K109*0.25)</f>
        <v>23.441860465116278</v>
      </c>
      <c r="I164" s="285" t="s">
        <v>745</v>
      </c>
      <c r="J164" s="286">
        <v>9</v>
      </c>
      <c r="K164" s="286" t="s">
        <v>617</v>
      </c>
      <c r="L164" s="285"/>
      <c r="M164" s="285"/>
      <c r="N164" s="285"/>
    </row>
    <row r="165" spans="1:14" ht="13.5">
      <c r="A165" s="285"/>
      <c r="B165" s="285" t="s">
        <v>66</v>
      </c>
      <c r="C165" s="289">
        <f>IF(OR('質問'!G109&gt;E162,'質問'!F110=1),'回答算出'!C163,'回答算出'!C164)</f>
        <v>70.32558139534885</v>
      </c>
      <c r="D165" s="285" t="s">
        <v>745</v>
      </c>
      <c r="E165" s="285"/>
      <c r="F165" s="285"/>
      <c r="G165" s="285"/>
      <c r="H165" s="289">
        <f>IF(OR('質問'!K109&gt;J162,'質問'!J110=1),'回答算出'!H163,'回答算出'!H164)</f>
        <v>23.441860465116278</v>
      </c>
      <c r="I165" s="285" t="s">
        <v>745</v>
      </c>
      <c r="J165" s="286">
        <v>6</v>
      </c>
      <c r="K165" s="286" t="s">
        <v>618</v>
      </c>
      <c r="L165" s="285"/>
      <c r="M165" s="285"/>
      <c r="N165" s="285"/>
    </row>
    <row r="166" spans="1:14" ht="13.5">
      <c r="A166" s="285"/>
      <c r="B166" s="285"/>
      <c r="C166" s="285"/>
      <c r="D166" s="285"/>
      <c r="E166" s="285"/>
      <c r="F166" s="285"/>
      <c r="G166" s="285"/>
      <c r="H166" s="285"/>
      <c r="I166" s="285"/>
      <c r="J166" s="286">
        <v>3</v>
      </c>
      <c r="K166" s="286" t="s">
        <v>619</v>
      </c>
      <c r="L166" s="285"/>
      <c r="M166" s="285"/>
      <c r="N166" s="285"/>
    </row>
    <row r="167" spans="1:9" ht="13.5">
      <c r="A167" s="285" t="str">
        <f>'質問'!B128</f>
        <v>Ｑ１９．照明器具の交換周期を決めていますか？</v>
      </c>
      <c r="B167" s="285"/>
      <c r="C167" s="285"/>
      <c r="D167" s="285"/>
      <c r="E167" s="285"/>
      <c r="F167" s="285"/>
      <c r="G167" s="285"/>
      <c r="H167" s="285"/>
      <c r="I167" s="285"/>
    </row>
    <row r="168" spans="1:9" ht="13.5">
      <c r="A168" s="285"/>
      <c r="B168" s="285"/>
      <c r="C168" s="285"/>
      <c r="D168" s="285"/>
      <c r="E168" s="285"/>
      <c r="F168" s="285"/>
      <c r="G168" s="285"/>
      <c r="H168" s="285"/>
      <c r="I168" s="285"/>
    </row>
    <row r="169" spans="1:10" ht="13.5">
      <c r="A169" s="285"/>
      <c r="B169" s="285" t="s">
        <v>756</v>
      </c>
      <c r="C169" s="288">
        <v>0.1</v>
      </c>
      <c r="D169" s="285"/>
      <c r="E169" s="286" t="s">
        <v>90</v>
      </c>
      <c r="F169" s="285"/>
      <c r="G169" s="286">
        <v>2</v>
      </c>
      <c r="H169" s="286" t="s">
        <v>91</v>
      </c>
      <c r="I169" s="285"/>
      <c r="J169" s="22"/>
    </row>
    <row r="170" spans="1:9" ht="13.5">
      <c r="A170" s="285"/>
      <c r="B170" s="285" t="s">
        <v>744</v>
      </c>
      <c r="C170" s="289">
        <f>(C4*C5*C14+H4*H5*H14+C22*C23*C24+H22*H23*H24+C32*C33*C34+H32*H33*H34+C42*C43*C44+H42*H43*H44)*C169/1000</f>
        <v>5280</v>
      </c>
      <c r="D170" s="285" t="s">
        <v>745</v>
      </c>
      <c r="E170" s="285"/>
      <c r="F170" s="285"/>
      <c r="G170" s="285"/>
      <c r="H170" s="289"/>
      <c r="I170" s="285"/>
    </row>
    <row r="171" spans="1:9" ht="13.5">
      <c r="A171" s="285"/>
      <c r="B171" s="285" t="s">
        <v>65</v>
      </c>
      <c r="C171" s="289">
        <f>IF('質問'!G128="",IF('質問'!F128=1,1,0),G169/'質問'!G128)*C170</f>
        <v>3520</v>
      </c>
      <c r="D171" s="285" t="s">
        <v>745</v>
      </c>
      <c r="E171" s="285"/>
      <c r="F171" s="285"/>
      <c r="G171" s="285"/>
      <c r="H171" s="289"/>
      <c r="I171" s="285"/>
    </row>
    <row r="172" spans="1:9" ht="13.5">
      <c r="A172" s="285"/>
      <c r="B172" s="285" t="s">
        <v>66</v>
      </c>
      <c r="C172" s="289">
        <f>IF(OR('質問'!G128&gt;G169,'質問'!F129=1),'回答算出'!C170,'回答算出'!C171)</f>
        <v>5280</v>
      </c>
      <c r="D172" s="285" t="s">
        <v>745</v>
      </c>
      <c r="E172" s="285"/>
      <c r="F172" s="285"/>
      <c r="G172" s="285"/>
      <c r="H172" s="289"/>
      <c r="I172" s="285"/>
    </row>
    <row r="173" spans="1:9" ht="13.5">
      <c r="A173" s="285"/>
      <c r="B173" s="285"/>
      <c r="C173" s="285"/>
      <c r="D173" s="285"/>
      <c r="E173" s="285"/>
      <c r="F173" s="285"/>
      <c r="G173" s="285"/>
      <c r="H173" s="285"/>
      <c r="I173" s="285"/>
    </row>
    <row r="174" spans="1:9" ht="13.5">
      <c r="A174" s="285" t="str">
        <f>'質問'!B132</f>
        <v>Ｑ２０．照明器具の清掃周期を決めていますか？</v>
      </c>
      <c r="B174" s="285"/>
      <c r="C174" s="285"/>
      <c r="D174" s="285"/>
      <c r="E174" s="285"/>
      <c r="F174" s="285"/>
      <c r="G174" s="285"/>
      <c r="H174" s="285"/>
      <c r="I174" s="285"/>
    </row>
    <row r="175" spans="1:9" ht="13.5">
      <c r="A175" s="285"/>
      <c r="B175" s="285"/>
      <c r="C175" s="285"/>
      <c r="D175" s="285"/>
      <c r="E175" s="285"/>
      <c r="F175" s="285"/>
      <c r="G175" s="285"/>
      <c r="H175" s="285"/>
      <c r="I175" s="285"/>
    </row>
    <row r="176" spans="1:10" ht="13.5">
      <c r="A176" s="285"/>
      <c r="B176" s="285" t="s">
        <v>756</v>
      </c>
      <c r="C176" s="288">
        <v>0.1</v>
      </c>
      <c r="D176" s="285"/>
      <c r="E176" s="286" t="s">
        <v>89</v>
      </c>
      <c r="F176" s="285"/>
      <c r="G176" s="286">
        <v>6</v>
      </c>
      <c r="H176" s="286" t="s">
        <v>92</v>
      </c>
      <c r="I176" s="285"/>
      <c r="J176" s="22"/>
    </row>
    <row r="177" spans="1:9" ht="13.5">
      <c r="A177" s="285"/>
      <c r="B177" s="285" t="s">
        <v>744</v>
      </c>
      <c r="C177" s="289">
        <f>(C4*C5*C14+H4*H5*H14+C22*C23*C24+H22*H23*H24+C32*C33*C34+H32*H33*H34+C42*C43*C44+H42*H43*H44)*C176/1000</f>
        <v>5280</v>
      </c>
      <c r="D177" s="285" t="s">
        <v>745</v>
      </c>
      <c r="E177" s="285"/>
      <c r="F177" s="285"/>
      <c r="G177" s="285"/>
      <c r="H177" s="289"/>
      <c r="I177" s="285"/>
    </row>
    <row r="178" spans="1:9" ht="13.5">
      <c r="A178" s="285"/>
      <c r="B178" s="285" t="s">
        <v>65</v>
      </c>
      <c r="C178" s="289">
        <f>IF('質問'!G132="",IF('質問'!F132=1,1,0),G176/'質問'!G132)*C177</f>
        <v>5280</v>
      </c>
      <c r="D178" s="285" t="s">
        <v>745</v>
      </c>
      <c r="E178" s="285"/>
      <c r="F178" s="285"/>
      <c r="G178" s="285"/>
      <c r="H178" s="289"/>
      <c r="I178" s="285"/>
    </row>
    <row r="179" spans="1:9" ht="13.5">
      <c r="A179" s="285"/>
      <c r="B179" s="285" t="s">
        <v>66</v>
      </c>
      <c r="C179" s="289">
        <f>IF(OR('質問'!G132&gt;G176,'質問'!F133=1),'回答算出'!C177,'回答算出'!C178)</f>
        <v>5280</v>
      </c>
      <c r="D179" s="285" t="s">
        <v>745</v>
      </c>
      <c r="E179" s="285"/>
      <c r="F179" s="285"/>
      <c r="G179" s="285"/>
      <c r="H179" s="289"/>
      <c r="I179" s="285"/>
    </row>
    <row r="180" spans="1:9" ht="13.5">
      <c r="A180" s="285"/>
      <c r="B180" s="285"/>
      <c r="C180" s="285"/>
      <c r="D180" s="285"/>
      <c r="E180" s="285"/>
      <c r="F180" s="285"/>
      <c r="G180" s="285"/>
      <c r="H180" s="285"/>
      <c r="I180" s="285"/>
    </row>
    <row r="181" spans="1:9" ht="13.5">
      <c r="A181" s="285" t="str">
        <f>'質問'!B136</f>
        <v>Ｑ２１．空調機のフィルター清掃（交換）周期を決めていますか？</v>
      </c>
      <c r="B181" s="285"/>
      <c r="C181" s="285"/>
      <c r="D181" s="285"/>
      <c r="E181" s="285"/>
      <c r="F181" s="285"/>
      <c r="G181" s="285"/>
      <c r="H181" s="285"/>
      <c r="I181" s="285"/>
    </row>
    <row r="182" spans="1:9" ht="13.5">
      <c r="A182" s="285"/>
      <c r="B182" s="285"/>
      <c r="C182" s="285"/>
      <c r="D182" s="285"/>
      <c r="E182" s="285"/>
      <c r="F182" s="285"/>
      <c r="G182" s="285"/>
      <c r="H182" s="285"/>
      <c r="I182" s="285"/>
    </row>
    <row r="183" spans="1:9" ht="13.5">
      <c r="A183" s="285"/>
      <c r="B183" s="285" t="s">
        <v>81</v>
      </c>
      <c r="C183" s="288">
        <v>20</v>
      </c>
      <c r="D183" s="285" t="s">
        <v>82</v>
      </c>
      <c r="E183" s="285"/>
      <c r="F183" s="285"/>
      <c r="G183" s="285"/>
      <c r="H183" s="285"/>
      <c r="I183" s="285"/>
    </row>
    <row r="184" spans="1:9" ht="13.5">
      <c r="A184" s="285"/>
      <c r="B184" s="285" t="s">
        <v>84</v>
      </c>
      <c r="C184" s="288">
        <v>800</v>
      </c>
      <c r="D184" s="285" t="s">
        <v>83</v>
      </c>
      <c r="E184" s="285"/>
      <c r="F184" s="285"/>
      <c r="G184" s="285"/>
      <c r="H184" s="285"/>
      <c r="I184" s="285"/>
    </row>
    <row r="185" spans="1:9" ht="13.5">
      <c r="A185" s="285"/>
      <c r="B185" s="285" t="s">
        <v>759</v>
      </c>
      <c r="C185" s="287">
        <v>3000</v>
      </c>
      <c r="D185" s="285" t="s">
        <v>746</v>
      </c>
      <c r="E185" s="285"/>
      <c r="F185" s="285"/>
      <c r="G185" s="285"/>
      <c r="H185" s="287"/>
      <c r="I185" s="285"/>
    </row>
    <row r="186" spans="1:9" ht="13.5">
      <c r="A186" s="285"/>
      <c r="B186" s="285" t="s">
        <v>756</v>
      </c>
      <c r="C186" s="288">
        <v>0.02</v>
      </c>
      <c r="D186" s="285"/>
      <c r="E186" s="286" t="s">
        <v>87</v>
      </c>
      <c r="F186" s="285"/>
      <c r="G186" s="285"/>
      <c r="H186" s="286">
        <v>3</v>
      </c>
      <c r="I186" s="286" t="s">
        <v>88</v>
      </c>
    </row>
    <row r="187" spans="1:9" ht="13.5">
      <c r="A187" s="285"/>
      <c r="B187" s="285" t="s">
        <v>744</v>
      </c>
      <c r="C187" s="289">
        <f>(C4+H4)*C183/3600*C184/0.3*C185*C186/1000</f>
        <v>1066.666666666667</v>
      </c>
      <c r="D187" s="285" t="s">
        <v>745</v>
      </c>
      <c r="E187" s="285"/>
      <c r="F187" s="285"/>
      <c r="G187" s="285"/>
      <c r="H187" s="285"/>
      <c r="I187" s="285"/>
    </row>
    <row r="188" spans="1:9" ht="13.5">
      <c r="A188" s="285"/>
      <c r="B188" s="285" t="s">
        <v>65</v>
      </c>
      <c r="C188" s="289">
        <f>IF('質問'!G136="",IF('質問'!F136=1,1,0),H186/'質問'!G136)*C187</f>
        <v>533.3333333333335</v>
      </c>
      <c r="D188" s="285" t="s">
        <v>745</v>
      </c>
      <c r="E188" s="285"/>
      <c r="F188" s="285"/>
      <c r="G188" s="285"/>
      <c r="H188" s="285"/>
      <c r="I188" s="285"/>
    </row>
    <row r="189" spans="1:9" ht="13.5">
      <c r="A189" s="285"/>
      <c r="B189" s="285" t="s">
        <v>66</v>
      </c>
      <c r="C189" s="289">
        <f>IF(OR('質問'!G136&gt;H186,'質問'!F137=1),'回答算出'!C187,'回答算出'!C188)</f>
        <v>1066.666666666667</v>
      </c>
      <c r="D189" s="285" t="s">
        <v>745</v>
      </c>
      <c r="E189" s="285"/>
      <c r="F189" s="285"/>
      <c r="G189" s="285"/>
      <c r="H189" s="285"/>
      <c r="I189" s="285"/>
    </row>
    <row r="190" spans="1:9" ht="13.5">
      <c r="A190" s="285"/>
      <c r="B190" s="285"/>
      <c r="C190" s="285"/>
      <c r="D190" s="285"/>
      <c r="E190" s="285"/>
      <c r="F190" s="285"/>
      <c r="G190" s="285"/>
      <c r="H190" s="285"/>
      <c r="I190" s="285"/>
    </row>
    <row r="191" spans="1:9" ht="13.5">
      <c r="A191" s="285" t="str">
        <f>'質問'!B140</f>
        <v>Ｑ２２．熱源機器（冷凍機・ボイラー）の定期点検は行っていますか？</v>
      </c>
      <c r="B191" s="285"/>
      <c r="C191" s="285"/>
      <c r="D191" s="285"/>
      <c r="E191" s="285"/>
      <c r="F191" s="285"/>
      <c r="G191" s="285"/>
      <c r="H191" s="285"/>
      <c r="I191" s="285"/>
    </row>
    <row r="192" spans="1:9" ht="13.5">
      <c r="A192" s="285"/>
      <c r="B192" s="285"/>
      <c r="C192" s="285"/>
      <c r="D192" s="285"/>
      <c r="E192" s="285"/>
      <c r="F192" s="285"/>
      <c r="G192" s="285"/>
      <c r="H192" s="285"/>
      <c r="I192" s="285"/>
    </row>
    <row r="193" spans="1:9" ht="13.5">
      <c r="A193" s="285"/>
      <c r="B193" s="285" t="s">
        <v>756</v>
      </c>
      <c r="C193" s="288">
        <v>0.05</v>
      </c>
      <c r="D193" s="285"/>
      <c r="E193" s="286" t="s">
        <v>463</v>
      </c>
      <c r="F193" s="285"/>
      <c r="G193" s="286">
        <v>3</v>
      </c>
      <c r="H193" s="286" t="s">
        <v>459</v>
      </c>
      <c r="I193" s="285"/>
    </row>
    <row r="194" spans="1:9" ht="13.5">
      <c r="A194" s="285"/>
      <c r="B194" s="285" t="s">
        <v>744</v>
      </c>
      <c r="C194" s="289">
        <f>(C3/1000*(C52*C53+C61*C62)+H3/1000*(H52*H53+H61*H62))*C193</f>
        <v>43000</v>
      </c>
      <c r="D194" s="285" t="s">
        <v>5</v>
      </c>
      <c r="E194" s="285"/>
      <c r="F194" s="285"/>
      <c r="G194" s="285"/>
      <c r="H194" s="285"/>
      <c r="I194" s="285"/>
    </row>
    <row r="195" spans="1:9" ht="13.5">
      <c r="A195" s="285"/>
      <c r="B195" s="285" t="s">
        <v>65</v>
      </c>
      <c r="C195" s="289">
        <f>IF('質問'!G140="",IF('質問'!F140=1,1,0),G193/'質問'!G140)*C194</f>
        <v>10750</v>
      </c>
      <c r="D195" s="285" t="s">
        <v>5</v>
      </c>
      <c r="E195" s="285"/>
      <c r="F195" s="285"/>
      <c r="G195" s="285"/>
      <c r="H195" s="285"/>
      <c r="I195" s="285"/>
    </row>
    <row r="196" spans="1:9" ht="13.5">
      <c r="A196" s="285"/>
      <c r="B196" s="285" t="s">
        <v>66</v>
      </c>
      <c r="C196" s="289">
        <f>IF(OR('質問'!G140&gt;G193,'質問'!F141=1),C194,C195)</f>
        <v>43000</v>
      </c>
      <c r="D196" s="285" t="s">
        <v>5</v>
      </c>
      <c r="E196" s="285"/>
      <c r="F196" s="285"/>
      <c r="G196" s="285"/>
      <c r="H196" s="285"/>
      <c r="I196" s="285"/>
    </row>
    <row r="200" ht="13.5">
      <c r="A200" t="s">
        <v>102</v>
      </c>
    </row>
    <row r="201" spans="3:6" ht="13.5">
      <c r="C201" t="s">
        <v>527</v>
      </c>
      <c r="D201" t="s">
        <v>528</v>
      </c>
      <c r="E201" t="s">
        <v>103</v>
      </c>
      <c r="F201" t="s">
        <v>526</v>
      </c>
    </row>
    <row r="202" spans="1:8" ht="13.5">
      <c r="A202" s="276" t="s">
        <v>465</v>
      </c>
      <c r="B202" s="276"/>
      <c r="C202" s="297">
        <f>IF('質問'!F148&gt;0,1,"")</f>
        <v>1</v>
      </c>
      <c r="D202" s="297">
        <f>IF('質問'!F148&gt;0,1,"")</f>
        <v>1</v>
      </c>
      <c r="E202" s="297">
        <f>IF('質問'!F148=1,1,0)</f>
        <v>1</v>
      </c>
      <c r="F202" s="297">
        <f>IF('質問'!F148=3,0,C202)</f>
        <v>1</v>
      </c>
      <c r="H202" s="13" t="s">
        <v>507</v>
      </c>
    </row>
    <row r="203" spans="8:9" ht="13.5">
      <c r="H203" t="s">
        <v>474</v>
      </c>
      <c r="I203" t="s">
        <v>477</v>
      </c>
    </row>
    <row r="204" spans="1:9" ht="13.5">
      <c r="A204" s="276" t="s">
        <v>466</v>
      </c>
      <c r="B204" s="276"/>
      <c r="C204" s="297">
        <f>IF('質問'!F149&gt;0,1,"")</f>
        <v>1</v>
      </c>
      <c r="D204" s="297"/>
      <c r="E204" s="297"/>
      <c r="F204" s="297">
        <f>IF('質問'!F149=3,0,C204)</f>
        <v>1</v>
      </c>
      <c r="H204" t="s">
        <v>475</v>
      </c>
      <c r="I204" t="s">
        <v>476</v>
      </c>
    </row>
    <row r="205" spans="1:9" ht="13.5">
      <c r="A205" s="276" t="s">
        <v>510</v>
      </c>
      <c r="B205" s="276"/>
      <c r="C205" s="297">
        <f>IF('質問'!F151&gt;0,1,"")</f>
        <v>1</v>
      </c>
      <c r="D205" s="297">
        <f>IF('質問'!F151&gt;0,1,"")</f>
        <v>1</v>
      </c>
      <c r="E205" s="297">
        <f>IF('質問'!F151=1,1,0)</f>
        <v>1</v>
      </c>
      <c r="F205" s="297">
        <f>IF('質問'!F151=3,0,C205)</f>
        <v>1</v>
      </c>
      <c r="H205" s="13" t="s">
        <v>478</v>
      </c>
      <c r="I205" t="s">
        <v>481</v>
      </c>
    </row>
    <row r="206" spans="1:9" ht="13.5">
      <c r="A206" s="276" t="s">
        <v>511</v>
      </c>
      <c r="B206" s="276"/>
      <c r="C206" s="297">
        <f>IF('質問'!F152&gt;0,1,"")</f>
        <v>1</v>
      </c>
      <c r="D206" s="297">
        <f>IF('質問'!F152&gt;0,1,"")</f>
        <v>1</v>
      </c>
      <c r="E206" s="297">
        <f>IF('質問'!F152=1,1,0)</f>
        <v>0</v>
      </c>
      <c r="F206" s="297">
        <f>IF('質問'!F152=3,0,C206)</f>
        <v>1</v>
      </c>
      <c r="H206" s="13" t="s">
        <v>479</v>
      </c>
      <c r="I206" t="s">
        <v>480</v>
      </c>
    </row>
    <row r="207" spans="1:8" ht="13.5">
      <c r="A207" s="276" t="s">
        <v>512</v>
      </c>
      <c r="B207" s="276"/>
      <c r="C207" s="297">
        <f>IF('質問'!F153&gt;0,1,"")</f>
        <v>1</v>
      </c>
      <c r="D207" s="297">
        <f>IF('質問'!F153&gt;0,1,"")</f>
        <v>1</v>
      </c>
      <c r="E207" s="297">
        <f>IF('質問'!F153=1,1,0)</f>
        <v>1</v>
      </c>
      <c r="F207" s="297">
        <f>IF('質問'!F153=3,0,C207)</f>
        <v>1</v>
      </c>
      <c r="H207" s="13"/>
    </row>
    <row r="208" spans="1:8" ht="13.5">
      <c r="A208" s="276" t="s">
        <v>513</v>
      </c>
      <c r="B208" s="276"/>
      <c r="C208" s="297">
        <f>IF('質問'!F154&gt;0,1,"")</f>
        <v>1</v>
      </c>
      <c r="D208" s="297">
        <f>IF('質問'!F154&gt;0,1,"")</f>
        <v>1</v>
      </c>
      <c r="E208" s="297">
        <f>IF('質問'!F154=1,1,0)</f>
        <v>1</v>
      </c>
      <c r="F208" s="297">
        <f>IF('質問'!F154=3,0,C208)</f>
        <v>1</v>
      </c>
      <c r="H208" s="13"/>
    </row>
    <row r="209" spans="3:8" ht="13.5">
      <c r="C209" s="13"/>
      <c r="D209" s="13"/>
      <c r="H209" s="13"/>
    </row>
    <row r="210" spans="1:8" ht="13.5">
      <c r="A210" s="276" t="s">
        <v>514</v>
      </c>
      <c r="B210" s="276"/>
      <c r="C210" s="297">
        <f>IF('質問'!F155&gt;0,1,"")</f>
        <v>1</v>
      </c>
      <c r="D210" s="297"/>
      <c r="E210" s="297"/>
      <c r="F210" s="297">
        <f>IF('質問'!F155=3,0,C210)</f>
        <v>1</v>
      </c>
      <c r="H210" s="13"/>
    </row>
    <row r="211" spans="1:8" ht="13.5">
      <c r="A211" s="276" t="s">
        <v>515</v>
      </c>
      <c r="B211" s="276"/>
      <c r="C211" s="297">
        <f>IF('質問'!F157&gt;0,1,"")</f>
        <v>1</v>
      </c>
      <c r="D211" s="297">
        <f>IF('質問'!F157&gt;0,1,"")</f>
        <v>1</v>
      </c>
      <c r="E211" s="297">
        <f>IF('質問'!F157=2,1,0)</f>
        <v>0</v>
      </c>
      <c r="F211" s="297">
        <f>IF('質問'!F157=3,0,C211)</f>
        <v>1</v>
      </c>
      <c r="H211" s="13"/>
    </row>
    <row r="212" spans="1:8" ht="13.5">
      <c r="A212" s="276" t="s">
        <v>516</v>
      </c>
      <c r="B212" s="276"/>
      <c r="C212" s="297">
        <f>IF('質問'!F158&gt;0,1,"")</f>
        <v>1</v>
      </c>
      <c r="D212" s="297">
        <f>IF('質問'!F158&gt;0,1,"")</f>
        <v>1</v>
      </c>
      <c r="E212" s="297">
        <f>IF('質問'!F158=2,1,0)</f>
        <v>0</v>
      </c>
      <c r="F212" s="297">
        <f>IF('質問'!F158=3,0,C212)</f>
        <v>1</v>
      </c>
      <c r="H212" s="13"/>
    </row>
    <row r="214" spans="1:8" ht="13.5">
      <c r="A214" s="276" t="s">
        <v>517</v>
      </c>
      <c r="B214" s="276"/>
      <c r="C214" s="297">
        <f>IF('質問'!F159&gt;0,1,"")</f>
        <v>1</v>
      </c>
      <c r="D214" s="297"/>
      <c r="E214" s="297"/>
      <c r="F214" s="297">
        <f>IF('質問'!F159=3,0,C214)</f>
        <v>1</v>
      </c>
      <c r="H214" s="13"/>
    </row>
    <row r="215" spans="1:8" ht="13.5">
      <c r="A215" s="276" t="s">
        <v>518</v>
      </c>
      <c r="B215" s="276"/>
      <c r="C215" s="297">
        <f>IF('質問'!F161&gt;0,1,"")</f>
        <v>1</v>
      </c>
      <c r="D215" s="297"/>
      <c r="E215" s="297"/>
      <c r="F215" s="297">
        <f>IF('質問'!F161=3,0,C215)</f>
        <v>1</v>
      </c>
      <c r="H215" s="13"/>
    </row>
    <row r="216" spans="1:8" ht="13.5">
      <c r="A216" s="276" t="s">
        <v>519</v>
      </c>
      <c r="B216" s="276"/>
      <c r="C216" s="297">
        <f>IF('質問'!F162&gt;0,1,"")</f>
        <v>1</v>
      </c>
      <c r="D216" s="297">
        <f>IF('質問'!F162&gt;0,1,"")</f>
        <v>1</v>
      </c>
      <c r="E216" s="297">
        <f>IF('質問'!F162=1,1,0)</f>
        <v>1</v>
      </c>
      <c r="F216" s="297">
        <f>IF('質問'!F162=3,0,C216)</f>
        <v>1</v>
      </c>
      <c r="H216" s="13"/>
    </row>
    <row r="217" spans="3:8" ht="13.5">
      <c r="C217" s="13"/>
      <c r="D217" s="13"/>
      <c r="E217" s="13"/>
      <c r="F217" s="13"/>
      <c r="H217" s="13"/>
    </row>
    <row r="218" spans="1:8" ht="13.5">
      <c r="A218" s="276" t="s">
        <v>520</v>
      </c>
      <c r="B218" s="276"/>
      <c r="C218" s="297">
        <f>IF('質問'!F163&gt;0,1,"")</f>
        <v>1</v>
      </c>
      <c r="D218" s="297">
        <f>IF('質問'!F163&gt;0,1,"")</f>
        <v>1</v>
      </c>
      <c r="E218" s="297">
        <f>IF('質問'!F163=1,1,0)</f>
        <v>1</v>
      </c>
      <c r="F218" s="297">
        <f>IF('質問'!F163=3,0,C218)</f>
        <v>1</v>
      </c>
      <c r="H218" s="13"/>
    </row>
    <row r="219" spans="3:8" ht="13.5">
      <c r="C219" s="13"/>
      <c r="D219" s="13"/>
      <c r="E219" s="13"/>
      <c r="F219" s="13"/>
      <c r="H219" s="13"/>
    </row>
    <row r="220" spans="1:8" ht="13.5">
      <c r="A220" s="276" t="s">
        <v>521</v>
      </c>
      <c r="B220" s="276"/>
      <c r="C220" s="297">
        <f>IF('質問'!F164&gt;0,1,"")</f>
        <v>1</v>
      </c>
      <c r="D220" s="297">
        <f>IF('質問'!F164&gt;0,1,"")</f>
        <v>1</v>
      </c>
      <c r="E220" s="297">
        <f>IF('質問'!F164=1,1,0)</f>
        <v>1</v>
      </c>
      <c r="F220" s="297">
        <f>IF('質問'!F164=3,0,C220)</f>
        <v>1</v>
      </c>
      <c r="H220" s="13"/>
    </row>
    <row r="222" spans="1:8" ht="13.5">
      <c r="A222" s="276" t="s">
        <v>522</v>
      </c>
      <c r="B222" s="276"/>
      <c r="C222" s="297">
        <f>IF('質問'!F165&gt;0,1,"")</f>
        <v>1</v>
      </c>
      <c r="D222" s="297">
        <f>IF('質問'!F165&gt;0,1,"")</f>
        <v>1</v>
      </c>
      <c r="E222" s="297">
        <f>IF('質問'!F165=1,1,0)</f>
        <v>0</v>
      </c>
      <c r="F222" s="297">
        <f>IF('質問'!F165=3,0,C222)</f>
        <v>1</v>
      </c>
      <c r="H222" s="13"/>
    </row>
    <row r="224" spans="1:8" ht="13.5">
      <c r="A224" s="276" t="s">
        <v>523</v>
      </c>
      <c r="B224" s="276"/>
      <c r="C224" s="297">
        <f>IF('質問'!F166&gt;0,1,"")</f>
        <v>1</v>
      </c>
      <c r="D224" s="297">
        <f>IF('質問'!F166&gt;0,1,"")</f>
        <v>1</v>
      </c>
      <c r="E224" s="297">
        <f>IF('質問'!F166=1,1,0)</f>
        <v>0</v>
      </c>
      <c r="F224" s="297">
        <f>IF('質問'!F166=3,0,C224)</f>
        <v>1</v>
      </c>
      <c r="H224" s="13"/>
    </row>
    <row r="225" spans="3:8" ht="13.5">
      <c r="C225" s="13"/>
      <c r="D225" s="13"/>
      <c r="E225" s="13"/>
      <c r="F225" s="13"/>
      <c r="H225" s="13"/>
    </row>
    <row r="226" spans="1:8" ht="13.5">
      <c r="A226" s="276" t="s">
        <v>524</v>
      </c>
      <c r="B226" s="276"/>
      <c r="C226" s="297">
        <f>IF('質問'!F167&gt;0,1,"")</f>
        <v>1</v>
      </c>
      <c r="D226" s="297">
        <f>IF('質問'!F167&gt;0,1,"")</f>
        <v>1</v>
      </c>
      <c r="E226" s="297">
        <f>IF('質問'!F167=1,1,0)</f>
        <v>0</v>
      </c>
      <c r="F226" s="298">
        <f>IF('質問'!F167=3,0,C226)</f>
        <v>1</v>
      </c>
      <c r="H226" s="13"/>
    </row>
    <row r="227" spans="3:8" ht="13.5">
      <c r="C227" s="13"/>
      <c r="D227" s="13"/>
      <c r="E227" s="13"/>
      <c r="F227" s="13"/>
      <c r="H227" s="13"/>
    </row>
    <row r="228" spans="1:8" ht="13.5">
      <c r="A228" s="276" t="s">
        <v>525</v>
      </c>
      <c r="B228" s="276"/>
      <c r="C228" s="297">
        <f>IF('質問'!F168&gt;0,1,"")</f>
        <v>1</v>
      </c>
      <c r="D228" s="297">
        <f>IF('質問'!F168&gt;0,1,"")</f>
        <v>1</v>
      </c>
      <c r="E228" s="297">
        <f>IF('質問'!F168=1,1,0)</f>
        <v>0</v>
      </c>
      <c r="F228" s="297">
        <f>IF('質問'!F168=3,0,C228)</f>
        <v>1</v>
      </c>
      <c r="H228" s="13"/>
    </row>
    <row r="229" spans="3:6" ht="13.5">
      <c r="C229" s="13"/>
      <c r="E229" s="13"/>
      <c r="F229" s="13"/>
    </row>
    <row r="230" spans="1:6" ht="13.5">
      <c r="A230" s="276" t="s">
        <v>104</v>
      </c>
      <c r="B230" s="276"/>
      <c r="C230" s="297">
        <f>SUM(C202:C228)</f>
        <v>18</v>
      </c>
      <c r="D230" s="297">
        <f>SUM(D202:D228)</f>
        <v>14</v>
      </c>
      <c r="E230" s="297">
        <f>SUM(E202:E228)</f>
        <v>7</v>
      </c>
      <c r="F230" s="297">
        <f>SUM(F202:F228)</f>
        <v>18</v>
      </c>
    </row>
    <row r="231" spans="8:10" ht="14.25" thickBot="1">
      <c r="H231" s="1"/>
      <c r="I231" s="23"/>
      <c r="J231" s="23"/>
    </row>
    <row r="232" spans="1:10" ht="14.25" thickBot="1">
      <c r="A232" s="39" t="s">
        <v>464</v>
      </c>
      <c r="B232" s="269"/>
      <c r="C232" s="270">
        <f>(F230/C230)</f>
        <v>1</v>
      </c>
      <c r="D232" s="275" t="s">
        <v>532</v>
      </c>
      <c r="H232" s="276"/>
      <c r="I232" s="276" t="s">
        <v>533</v>
      </c>
      <c r="J232" s="276" t="s">
        <v>113</v>
      </c>
    </row>
    <row r="233" spans="1:10" ht="14.25" thickBot="1">
      <c r="A233" s="266" t="s">
        <v>530</v>
      </c>
      <c r="B233" s="267"/>
      <c r="C233" s="268">
        <f>E230/D230</f>
        <v>0.5</v>
      </c>
      <c r="D233" s="275" t="s">
        <v>529</v>
      </c>
      <c r="H233" s="299" t="s">
        <v>482</v>
      </c>
      <c r="I233" s="277">
        <f>E230*100</f>
        <v>700</v>
      </c>
      <c r="J233" s="277">
        <f>D230</f>
        <v>14</v>
      </c>
    </row>
    <row r="234" spans="1:10" ht="14.25" thickBot="1">
      <c r="A234" s="39" t="s">
        <v>531</v>
      </c>
      <c r="B234" s="269"/>
      <c r="C234" s="271">
        <f>SUM('質問'!Y186)/SUM('質問'!Z186)</f>
        <v>0.6833333333333332</v>
      </c>
      <c r="D234" s="275" t="s">
        <v>467</v>
      </c>
      <c r="H234" s="299" t="s">
        <v>675</v>
      </c>
      <c r="I234" s="277">
        <f>SUM('質問'!Y128:Y144)</f>
        <v>341.66666666666663</v>
      </c>
      <c r="J234" s="277">
        <f>SUM('質問'!AA128:AA144)</f>
        <v>5</v>
      </c>
    </row>
    <row r="235" spans="1:10" ht="14.25" thickBot="1">
      <c r="A235" s="625">
        <f>I235/J235*C232</f>
        <v>54.82456140350877</v>
      </c>
      <c r="B235" s="626"/>
      <c r="C235" s="627"/>
      <c r="D235" s="275" t="s">
        <v>468</v>
      </c>
      <c r="H235" s="276" t="s">
        <v>684</v>
      </c>
      <c r="I235" s="277">
        <f>SUM(I233:I234)</f>
        <v>1041.6666666666665</v>
      </c>
      <c r="J235" s="277">
        <f>SUM(J233:J234)</f>
        <v>19</v>
      </c>
    </row>
    <row r="236" spans="1:10" ht="14.25" thickBot="1">
      <c r="A236" s="301"/>
      <c r="B236" s="302"/>
      <c r="C236" s="305">
        <f>I235/J235*C232</f>
        <v>54.82456140350877</v>
      </c>
      <c r="D236" s="275"/>
      <c r="H236" s="1"/>
      <c r="I236" s="304"/>
      <c r="J236" s="304"/>
    </row>
    <row r="237" spans="1:5" ht="14.25" thickBot="1">
      <c r="A237" s="300" t="s">
        <v>496</v>
      </c>
      <c r="B237" s="269"/>
      <c r="C237" s="303" t="str">
        <f>IF(C236&lt;20,"高い",IF(C236&lt;40,"やや高い",IF(C236&lt;60,"普通",IF(C236&lt;80,"やや低い","低い"))))</f>
        <v>普通</v>
      </c>
      <c r="D237" s="274"/>
      <c r="E237" s="108"/>
    </row>
    <row r="238" spans="1:8" ht="13.5">
      <c r="A238" s="272"/>
      <c r="B238" s="1"/>
      <c r="C238" s="1"/>
      <c r="D238" s="273"/>
      <c r="E238" s="108"/>
      <c r="H238" t="s">
        <v>483</v>
      </c>
    </row>
    <row r="239" spans="1:9" ht="13.5">
      <c r="A239" s="272"/>
      <c r="B239" s="1"/>
      <c r="C239" s="1"/>
      <c r="D239" s="273"/>
      <c r="E239" s="108"/>
      <c r="H239" s="5" t="s">
        <v>489</v>
      </c>
      <c r="I239" t="s">
        <v>490</v>
      </c>
    </row>
    <row r="240" spans="1:10" ht="13.5">
      <c r="A240" s="272"/>
      <c r="B240" s="1"/>
      <c r="C240" s="1"/>
      <c r="D240" s="273"/>
      <c r="E240" s="108"/>
      <c r="H240" t="s">
        <v>484</v>
      </c>
      <c r="I240" t="s">
        <v>620</v>
      </c>
      <c r="J240" t="s">
        <v>492</v>
      </c>
    </row>
    <row r="241" spans="1:10" ht="13.5">
      <c r="A241" s="272"/>
      <c r="B241" s="1"/>
      <c r="C241" s="1"/>
      <c r="D241" s="273"/>
      <c r="E241" s="108"/>
      <c r="H241" t="s">
        <v>486</v>
      </c>
      <c r="I241" t="s">
        <v>621</v>
      </c>
      <c r="J241" t="s">
        <v>493</v>
      </c>
    </row>
    <row r="242" spans="1:10" ht="13.5">
      <c r="A242" s="272"/>
      <c r="B242" s="1"/>
      <c r="C242" s="1"/>
      <c r="D242" s="273"/>
      <c r="E242" s="108"/>
      <c r="H242" t="s">
        <v>485</v>
      </c>
      <c r="I242" t="s">
        <v>624</v>
      </c>
      <c r="J242" t="s">
        <v>494</v>
      </c>
    </row>
    <row r="243" spans="1:10" ht="13.5">
      <c r="A243" s="272"/>
      <c r="B243" s="1"/>
      <c r="C243" s="1"/>
      <c r="D243" s="273"/>
      <c r="E243" s="108"/>
      <c r="H243" t="s">
        <v>487</v>
      </c>
      <c r="I243" t="s">
        <v>622</v>
      </c>
      <c r="J243" t="s">
        <v>495</v>
      </c>
    </row>
    <row r="244" spans="1:10" ht="13.5">
      <c r="A244" s="272"/>
      <c r="B244" s="1"/>
      <c r="C244" s="1"/>
      <c r="D244" s="273"/>
      <c r="E244" s="108"/>
      <c r="H244" t="s">
        <v>488</v>
      </c>
      <c r="I244" t="s">
        <v>623</v>
      </c>
      <c r="J244" t="s">
        <v>491</v>
      </c>
    </row>
    <row r="245" spans="1:5" ht="13.5">
      <c r="A245" s="272"/>
      <c r="B245" s="1"/>
      <c r="C245" s="1"/>
      <c r="D245" s="273"/>
      <c r="E245" s="108"/>
    </row>
    <row r="256" ht="13.5">
      <c r="A256" t="s">
        <v>105</v>
      </c>
    </row>
    <row r="257" spans="3:6" ht="13.5">
      <c r="C257" t="s">
        <v>19</v>
      </c>
      <c r="D257" t="s">
        <v>106</v>
      </c>
      <c r="F257" t="s">
        <v>209</v>
      </c>
    </row>
    <row r="258" spans="1:6" ht="13.5">
      <c r="A258" s="40" t="s">
        <v>107</v>
      </c>
      <c r="B258" s="41">
        <v>1</v>
      </c>
      <c r="C258" s="42">
        <f>C10-C9</f>
        <v>360</v>
      </c>
      <c r="D258" s="42">
        <f>H10-H9</f>
        <v>120</v>
      </c>
      <c r="E258" s="22" t="s">
        <v>108</v>
      </c>
      <c r="F258" s="42">
        <f>(C258+D258)*10.3</f>
        <v>4944</v>
      </c>
    </row>
    <row r="259" spans="1:6" ht="13.5">
      <c r="A259" s="40" t="s">
        <v>107</v>
      </c>
      <c r="B259" s="41">
        <f>B258+1</f>
        <v>2</v>
      </c>
      <c r="C259" s="42">
        <f>C18-C17</f>
        <v>720</v>
      </c>
      <c r="D259" s="42">
        <f>H18-H17</f>
        <v>0</v>
      </c>
      <c r="E259" s="22" t="s">
        <v>108</v>
      </c>
      <c r="F259" s="42">
        <f>(C259+D259)*10.3</f>
        <v>7416.000000000001</v>
      </c>
    </row>
    <row r="260" spans="1:6" ht="13.5">
      <c r="A260" s="40" t="s">
        <v>107</v>
      </c>
      <c r="B260" s="41">
        <f aca="true" t="shared" si="0" ref="B260:B279">B259+1</f>
        <v>3</v>
      </c>
      <c r="C260" s="42">
        <f>C28-C27</f>
        <v>225</v>
      </c>
      <c r="D260" s="42">
        <f>H28-H27</f>
        <v>300</v>
      </c>
      <c r="E260" s="22" t="s">
        <v>108</v>
      </c>
      <c r="F260" s="42">
        <f>(C260+D260)*10.3</f>
        <v>5407.5</v>
      </c>
    </row>
    <row r="261" spans="1:6" ht="13.5">
      <c r="A261" s="40" t="s">
        <v>107</v>
      </c>
      <c r="B261" s="41">
        <f t="shared" si="0"/>
        <v>4</v>
      </c>
      <c r="C261" s="42">
        <f>C38-C37</f>
        <v>18</v>
      </c>
      <c r="D261" s="42">
        <f>H38-H37</f>
        <v>0</v>
      </c>
      <c r="E261" s="22" t="s">
        <v>108</v>
      </c>
      <c r="F261" s="42">
        <f>(C261+D261)*10.3</f>
        <v>185.4</v>
      </c>
    </row>
    <row r="262" spans="1:6" ht="13.5">
      <c r="A262" s="40" t="s">
        <v>107</v>
      </c>
      <c r="B262" s="41">
        <f t="shared" si="0"/>
        <v>5</v>
      </c>
      <c r="C262" s="42">
        <f>C48-C47</f>
        <v>36</v>
      </c>
      <c r="D262" s="42">
        <f>H48-H47</f>
        <v>0</v>
      </c>
      <c r="E262" s="22" t="s">
        <v>108</v>
      </c>
      <c r="F262" s="42">
        <f>(C262+D262)*10.3</f>
        <v>370.8</v>
      </c>
    </row>
    <row r="263" spans="1:6" ht="13.5">
      <c r="A263" s="40" t="s">
        <v>107</v>
      </c>
      <c r="B263" s="41">
        <f t="shared" si="0"/>
        <v>6</v>
      </c>
      <c r="C263" s="42">
        <f>C57-C56</f>
        <v>6720</v>
      </c>
      <c r="D263" s="42">
        <f>H57-H56</f>
        <v>2240</v>
      </c>
      <c r="E263" t="s">
        <v>109</v>
      </c>
      <c r="F263" s="42">
        <f aca="true" t="shared" si="1" ref="F263:F268">(C263+D263)</f>
        <v>8960</v>
      </c>
    </row>
    <row r="264" spans="1:6" ht="13.5">
      <c r="A264" s="40" t="s">
        <v>107</v>
      </c>
      <c r="B264" s="41">
        <f t="shared" si="0"/>
        <v>7</v>
      </c>
      <c r="C264" s="42">
        <f>C66-C65</f>
        <v>4500</v>
      </c>
      <c r="D264" s="42">
        <f>H66-H65</f>
        <v>1500</v>
      </c>
      <c r="E264" t="s">
        <v>109</v>
      </c>
      <c r="F264" s="42">
        <f t="shared" si="1"/>
        <v>6000</v>
      </c>
    </row>
    <row r="265" spans="1:6" ht="13.5">
      <c r="A265" s="40" t="s">
        <v>107</v>
      </c>
      <c r="B265" s="41">
        <f t="shared" si="0"/>
        <v>8</v>
      </c>
      <c r="C265" s="42">
        <f>C74-C73</f>
        <v>12900</v>
      </c>
      <c r="D265" s="42">
        <f>H74-H73</f>
        <v>0</v>
      </c>
      <c r="E265" t="s">
        <v>109</v>
      </c>
      <c r="F265" s="42">
        <f t="shared" si="1"/>
        <v>12900</v>
      </c>
    </row>
    <row r="266" spans="1:6" ht="13.5">
      <c r="A266" s="40" t="s">
        <v>107</v>
      </c>
      <c r="B266" s="41">
        <f t="shared" si="0"/>
        <v>9</v>
      </c>
      <c r="C266" s="42">
        <f>C81-C80</f>
        <v>3870</v>
      </c>
      <c r="D266" s="42">
        <f>H81-H80</f>
        <v>1290</v>
      </c>
      <c r="E266" t="s">
        <v>109</v>
      </c>
      <c r="F266" s="42">
        <f t="shared" si="1"/>
        <v>5160</v>
      </c>
    </row>
    <row r="267" spans="1:6" ht="13.5">
      <c r="A267" s="40" t="s">
        <v>107</v>
      </c>
      <c r="B267" s="41">
        <f t="shared" si="0"/>
        <v>10</v>
      </c>
      <c r="C267" s="42">
        <f>C88-C87</f>
        <v>3360</v>
      </c>
      <c r="D267" s="42">
        <f>H88-H87</f>
        <v>0</v>
      </c>
      <c r="E267" t="s">
        <v>109</v>
      </c>
      <c r="F267" s="42">
        <f t="shared" si="1"/>
        <v>3360</v>
      </c>
    </row>
    <row r="268" spans="1:6" ht="13.5">
      <c r="A268" s="40" t="s">
        <v>107</v>
      </c>
      <c r="B268" s="41">
        <f t="shared" si="0"/>
        <v>11</v>
      </c>
      <c r="C268" s="42">
        <f>C95-C94</f>
        <v>840</v>
      </c>
      <c r="D268" s="42">
        <f>H95-H94</f>
        <v>0</v>
      </c>
      <c r="E268" t="s">
        <v>109</v>
      </c>
      <c r="F268" s="42">
        <f t="shared" si="1"/>
        <v>840</v>
      </c>
    </row>
    <row r="269" spans="1:6" ht="13.5">
      <c r="A269" s="40" t="s">
        <v>107</v>
      </c>
      <c r="B269" s="41">
        <f t="shared" si="0"/>
        <v>12</v>
      </c>
      <c r="C269" s="42">
        <f>C105-C104</f>
        <v>45</v>
      </c>
      <c r="D269" s="42">
        <f>H105-H104</f>
        <v>0</v>
      </c>
      <c r="E269" s="22" t="s">
        <v>108</v>
      </c>
      <c r="F269" s="42">
        <f>(C269+D269)*10.3</f>
        <v>463.50000000000006</v>
      </c>
    </row>
    <row r="270" spans="1:6" ht="13.5">
      <c r="A270" s="40" t="s">
        <v>107</v>
      </c>
      <c r="B270" s="41">
        <f t="shared" si="0"/>
        <v>13</v>
      </c>
      <c r="C270" s="42">
        <f>C115-C114</f>
        <v>1350</v>
      </c>
      <c r="D270" s="42">
        <f>H115-H114</f>
        <v>0</v>
      </c>
      <c r="E270" s="22" t="s">
        <v>108</v>
      </c>
      <c r="F270" s="42">
        <f>(C270+D270)*10.3</f>
        <v>13905.000000000002</v>
      </c>
    </row>
    <row r="271" spans="1:6" ht="13.5">
      <c r="A271" s="40" t="s">
        <v>107</v>
      </c>
      <c r="B271" s="41">
        <f t="shared" si="0"/>
        <v>14</v>
      </c>
      <c r="C271" s="42">
        <f>C126-C125</f>
        <v>90</v>
      </c>
      <c r="D271" s="42">
        <f>H105-H104</f>
        <v>0</v>
      </c>
      <c r="E271" s="22" t="s">
        <v>108</v>
      </c>
      <c r="F271" s="42">
        <f>(C271+D271)*10.3</f>
        <v>927.0000000000001</v>
      </c>
    </row>
    <row r="272" spans="1:6" ht="13.5">
      <c r="A272" s="40" t="s">
        <v>107</v>
      </c>
      <c r="B272" s="41">
        <f t="shared" si="0"/>
        <v>15</v>
      </c>
      <c r="C272" s="42">
        <f>C135-C134</f>
        <v>3456</v>
      </c>
      <c r="D272" s="42">
        <f>H115-H114</f>
        <v>0</v>
      </c>
      <c r="E272" s="22" t="s">
        <v>108</v>
      </c>
      <c r="F272" s="42">
        <f>(C272+D272)*10.3</f>
        <v>35596.8</v>
      </c>
    </row>
    <row r="273" spans="1:6" ht="13.5">
      <c r="A273" s="40" t="s">
        <v>107</v>
      </c>
      <c r="B273" s="41">
        <f t="shared" si="0"/>
        <v>16</v>
      </c>
      <c r="C273" s="42">
        <f>C146-C145</f>
        <v>576</v>
      </c>
      <c r="D273" s="42">
        <f>H126-H125</f>
        <v>0</v>
      </c>
      <c r="E273" s="22" t="s">
        <v>108</v>
      </c>
      <c r="F273" s="42">
        <f>(C273+D273)*10.3</f>
        <v>5932.8</v>
      </c>
    </row>
    <row r="274" spans="1:6" ht="13.5">
      <c r="A274" s="293" t="s">
        <v>107</v>
      </c>
      <c r="B274" s="294">
        <f t="shared" si="0"/>
        <v>17</v>
      </c>
      <c r="C274" s="295">
        <f>C154-C153</f>
        <v>0</v>
      </c>
      <c r="D274" s="285"/>
      <c r="E274" s="296" t="s">
        <v>109</v>
      </c>
      <c r="F274" s="295">
        <f>(C274+D274)</f>
        <v>0</v>
      </c>
    </row>
    <row r="275" spans="1:6" ht="13.5">
      <c r="A275" s="290" t="s">
        <v>107</v>
      </c>
      <c r="B275" s="291">
        <f t="shared" si="0"/>
        <v>18</v>
      </c>
      <c r="C275" s="292">
        <f>C165-C164</f>
        <v>0</v>
      </c>
      <c r="D275" s="292">
        <f>H146-H145</f>
        <v>0</v>
      </c>
      <c r="E275" s="286" t="s">
        <v>108</v>
      </c>
      <c r="F275" s="292">
        <f>(C275+D275)*10.3</f>
        <v>0</v>
      </c>
    </row>
    <row r="276" spans="1:6" ht="13.5">
      <c r="A276" s="290" t="s">
        <v>107</v>
      </c>
      <c r="B276" s="291">
        <f t="shared" si="0"/>
        <v>19</v>
      </c>
      <c r="C276" s="292">
        <f>C172-C171</f>
        <v>1760</v>
      </c>
      <c r="D276" s="285"/>
      <c r="E276" s="286" t="s">
        <v>108</v>
      </c>
      <c r="F276" s="292">
        <f>(C276+D276)*10.3</f>
        <v>18128</v>
      </c>
    </row>
    <row r="277" spans="1:6" ht="13.5">
      <c r="A277" s="290" t="s">
        <v>107</v>
      </c>
      <c r="B277" s="291">
        <f t="shared" si="0"/>
        <v>20</v>
      </c>
      <c r="C277" s="292">
        <f>C179-C178</f>
        <v>0</v>
      </c>
      <c r="D277" s="285"/>
      <c r="E277" s="286" t="s">
        <v>108</v>
      </c>
      <c r="F277" s="292">
        <f>(C277+D277)*10.3</f>
        <v>0</v>
      </c>
    </row>
    <row r="278" spans="1:6" ht="13.5">
      <c r="A278" s="290" t="s">
        <v>107</v>
      </c>
      <c r="B278" s="291">
        <f t="shared" si="0"/>
        <v>21</v>
      </c>
      <c r="C278" s="292">
        <f>C189-C188</f>
        <v>533.3333333333335</v>
      </c>
      <c r="D278" s="285"/>
      <c r="E278" s="286" t="s">
        <v>108</v>
      </c>
      <c r="F278" s="292">
        <f>(C278+D278)*10.3</f>
        <v>5493.333333333335</v>
      </c>
    </row>
    <row r="279" spans="1:6" ht="13.5">
      <c r="A279" s="290" t="s">
        <v>107</v>
      </c>
      <c r="B279" s="291">
        <f t="shared" si="0"/>
        <v>22</v>
      </c>
      <c r="C279" s="292">
        <f>C196-C195</f>
        <v>32250</v>
      </c>
      <c r="D279" s="285"/>
      <c r="E279" s="285" t="s">
        <v>109</v>
      </c>
      <c r="F279" s="292">
        <f>(C279+D279)</f>
        <v>32250</v>
      </c>
    </row>
    <row r="280" spans="1:6" ht="14.25" thickBot="1">
      <c r="A280" s="290" t="s">
        <v>107</v>
      </c>
      <c r="B280" s="291">
        <f>B279+1</f>
        <v>23</v>
      </c>
      <c r="C280" s="292"/>
      <c r="D280" s="285"/>
      <c r="E280" s="285"/>
      <c r="F280" s="292"/>
    </row>
    <row r="281" spans="5:8" ht="15.75" customHeight="1" thickBot="1">
      <c r="E281" s="9" t="s">
        <v>684</v>
      </c>
      <c r="F281" s="43">
        <f>SUM(F258:F274)</f>
        <v>112368.8</v>
      </c>
      <c r="G281" s="44" t="s">
        <v>5</v>
      </c>
      <c r="H281" s="2" t="s">
        <v>471</v>
      </c>
    </row>
    <row r="282" spans="5:11" ht="15.75" customHeight="1" thickBot="1">
      <c r="E282" s="9" t="s">
        <v>684</v>
      </c>
      <c r="F282" s="43">
        <f>F281*I282</f>
        <v>3453.2850731707317</v>
      </c>
      <c r="G282" s="44" t="s">
        <v>499</v>
      </c>
      <c r="H282" s="2" t="s">
        <v>497</v>
      </c>
      <c r="I282" s="306">
        <f>0.315/10.25</f>
        <v>0.03073170731707317</v>
      </c>
      <c r="J282" t="s">
        <v>500</v>
      </c>
      <c r="K282" t="s">
        <v>498</v>
      </c>
    </row>
    <row r="283" spans="5:9" ht="14.25" thickBot="1">
      <c r="E283" s="9" t="s">
        <v>684</v>
      </c>
      <c r="F283" s="307">
        <f>F281/10.25</f>
        <v>10962.809756097562</v>
      </c>
      <c r="G283" s="44" t="s">
        <v>745</v>
      </c>
      <c r="H283" t="s">
        <v>503</v>
      </c>
      <c r="I283" s="306"/>
    </row>
  </sheetData>
  <sheetProtection/>
  <mergeCells count="1">
    <mergeCell ref="A235:C235"/>
  </mergeCells>
  <printOptions/>
  <pageMargins left="0.5905511811023623" right="0.3937007874015748" top="0.984251968503937" bottom="0.984251968503937" header="0.5118110236220472" footer="0.5118110236220472"/>
  <pageSetup horizontalDpi="600" verticalDpi="600" orientation="portrait" paperSize="9" scale="81" r:id="rId2"/>
  <rowBreaks count="1" manualBreakCount="1">
    <brk id="67" max="11" man="1"/>
  </rowBreaks>
  <drawing r:id="rId1"/>
</worksheet>
</file>

<file path=xl/worksheets/sheet7.xml><?xml version="1.0" encoding="utf-8"?>
<worksheet xmlns="http://schemas.openxmlformats.org/spreadsheetml/2006/main" xmlns:r="http://schemas.openxmlformats.org/officeDocument/2006/relationships">
  <dimension ref="A1:AF101"/>
  <sheetViews>
    <sheetView view="pageBreakPreview" zoomScaleSheetLayoutView="100" zoomScalePageLayoutView="0" workbookViewId="0" topLeftCell="A19">
      <selection activeCell="H109" sqref="H109"/>
    </sheetView>
  </sheetViews>
  <sheetFormatPr defaultColWidth="9.00390625" defaultRowHeight="13.5"/>
  <cols>
    <col min="1" max="1" width="3.125" style="5" customWidth="1"/>
    <col min="2" max="2" width="3.75390625" style="5" customWidth="1"/>
    <col min="3" max="8" width="3.625" style="5" customWidth="1"/>
    <col min="9" max="13" width="3.125" style="5" customWidth="1"/>
    <col min="14" max="14" width="3.00390625" style="5" customWidth="1"/>
    <col min="15" max="16" width="0.5" style="5" customWidth="1"/>
    <col min="17" max="17" width="2.625" style="5" customWidth="1"/>
    <col min="18" max="18" width="2.375" style="5" customWidth="1"/>
    <col min="19" max="21" width="1.00390625" style="5" customWidth="1"/>
    <col min="22" max="22" width="4.50390625" style="5" bestFit="1" customWidth="1"/>
    <col min="23" max="24" width="0.5" style="5" customWidth="1"/>
    <col min="25" max="26" width="1.37890625" style="5" customWidth="1"/>
    <col min="27" max="27" width="4.625" style="5" bestFit="1" customWidth="1"/>
    <col min="28" max="28" width="2.75390625" style="5" customWidth="1"/>
    <col min="29" max="29" width="4.25390625" style="5" bestFit="1" customWidth="1"/>
    <col min="30" max="30" width="3.625" style="5" bestFit="1" customWidth="1"/>
    <col min="31" max="31" width="4.625" style="5" bestFit="1" customWidth="1"/>
    <col min="32" max="16384" width="9.00390625" style="5" customWidth="1"/>
  </cols>
  <sheetData>
    <row r="1" spans="31:32" ht="13.5" customHeight="1">
      <c r="AE1" s="628" t="s">
        <v>542</v>
      </c>
      <c r="AF1" s="629"/>
    </row>
    <row r="2" spans="1:32" ht="21" customHeight="1" thickBot="1">
      <c r="A2" s="357" t="s">
        <v>541</v>
      </c>
      <c r="AE2" s="630"/>
      <c r="AF2" s="631"/>
    </row>
    <row r="3" ht="15" customHeight="1">
      <c r="A3" s="5" t="str">
        <f>'質問'!B21</f>
        <v>Ｑ１．昼休みに消灯していますか？</v>
      </c>
    </row>
    <row r="4" ht="15" customHeight="1">
      <c r="A4" s="5" t="str">
        <f>'質問'!B26</f>
        <v>Ｑ２．屋外からの採光にあわせて窓際は消灯していますか？</v>
      </c>
    </row>
    <row r="5" ht="15" customHeight="1">
      <c r="A5" s="5" t="str">
        <f>'質問'!B32</f>
        <v>Ｑ３．廊下の照明は間引き点灯していますか？</v>
      </c>
    </row>
    <row r="6" ht="15" customHeight="1">
      <c r="A6" s="5" t="str">
        <f>'質問'!B37</f>
        <v>Ｑ４．倉庫などの照明は普段消していますか？</v>
      </c>
    </row>
    <row r="7" ht="15" customHeight="1">
      <c r="A7" s="5" t="str">
        <f>'質問'!B42</f>
        <v>Ｑ５．トイレの照明は、非使用時に消灯していますか？</v>
      </c>
    </row>
    <row r="8" ht="15" customHeight="1"/>
    <row r="9" ht="15" customHeight="1">
      <c r="B9" s="5" t="s">
        <v>231</v>
      </c>
    </row>
    <row r="10" ht="15" customHeight="1">
      <c r="C10" s="5" t="s">
        <v>239</v>
      </c>
    </row>
    <row r="11" ht="15" customHeight="1">
      <c r="C11" s="5" t="s">
        <v>224</v>
      </c>
    </row>
    <row r="12" ht="15" customHeight="1">
      <c r="C12" s="5" t="s">
        <v>225</v>
      </c>
    </row>
    <row r="13" ht="15" customHeight="1" thickBot="1"/>
    <row r="14" spans="2:31" ht="15" customHeight="1" thickBot="1">
      <c r="B14" s="168"/>
      <c r="C14" s="170"/>
      <c r="D14" s="168" t="s">
        <v>226</v>
      </c>
      <c r="E14" s="169"/>
      <c r="F14" s="170"/>
      <c r="G14" s="168" t="s">
        <v>230</v>
      </c>
      <c r="H14" s="170"/>
      <c r="I14" s="168" t="s">
        <v>238</v>
      </c>
      <c r="J14" s="169"/>
      <c r="K14" s="169"/>
      <c r="L14" s="169"/>
      <c r="M14" s="169"/>
      <c r="N14" s="170"/>
      <c r="O14" s="169" t="s">
        <v>755</v>
      </c>
      <c r="P14" s="169"/>
      <c r="Q14" s="169"/>
      <c r="R14" s="169"/>
      <c r="S14" s="169"/>
      <c r="T14" s="169"/>
      <c r="U14" s="169"/>
      <c r="V14" s="169"/>
      <c r="W14" s="169"/>
      <c r="X14" s="169"/>
      <c r="Y14" s="169"/>
      <c r="Z14" s="169"/>
      <c r="AA14" s="168" t="s">
        <v>241</v>
      </c>
      <c r="AB14" s="169"/>
      <c r="AC14" s="169"/>
      <c r="AD14" s="169"/>
      <c r="AE14" s="170"/>
    </row>
    <row r="15" spans="2:32" ht="15" customHeight="1">
      <c r="B15" s="165" t="s">
        <v>234</v>
      </c>
      <c r="C15" s="163"/>
      <c r="D15" s="151" t="s">
        <v>227</v>
      </c>
      <c r="E15" s="109"/>
      <c r="F15" s="152"/>
      <c r="G15" s="172"/>
      <c r="H15" s="173">
        <v>0.6</v>
      </c>
      <c r="I15" s="151"/>
      <c r="J15" s="109"/>
      <c r="K15" s="109">
        <v>20</v>
      </c>
      <c r="L15" s="109" t="s">
        <v>249</v>
      </c>
      <c r="M15" s="109"/>
      <c r="N15" s="152"/>
      <c r="O15" s="109"/>
      <c r="P15" s="109"/>
      <c r="Q15" s="109"/>
      <c r="R15" s="657">
        <f>AA15*AD15</f>
        <v>2000</v>
      </c>
      <c r="S15" s="657"/>
      <c r="T15" s="657"/>
      <c r="U15" s="657"/>
      <c r="V15" s="109" t="s">
        <v>240</v>
      </c>
      <c r="W15" s="109"/>
      <c r="X15" s="109"/>
      <c r="Y15" s="109"/>
      <c r="Z15" s="109"/>
      <c r="AA15" s="151">
        <v>200</v>
      </c>
      <c r="AB15" s="109" t="s">
        <v>242</v>
      </c>
      <c r="AC15" s="109"/>
      <c r="AD15" s="109">
        <v>10</v>
      </c>
      <c r="AE15" s="152" t="s">
        <v>243</v>
      </c>
      <c r="AF15" s="121"/>
    </row>
    <row r="16" spans="2:32" ht="15" customHeight="1">
      <c r="B16" s="164" t="s">
        <v>235</v>
      </c>
      <c r="C16" s="153"/>
      <c r="D16" s="164" t="s">
        <v>228</v>
      </c>
      <c r="E16" s="118"/>
      <c r="F16" s="153"/>
      <c r="G16" s="174"/>
      <c r="H16" s="175">
        <v>0.05</v>
      </c>
      <c r="I16" s="164"/>
      <c r="J16" s="118"/>
      <c r="K16" s="118">
        <v>15</v>
      </c>
      <c r="L16" s="118" t="s">
        <v>250</v>
      </c>
      <c r="M16" s="118"/>
      <c r="N16" s="153"/>
      <c r="O16" s="118"/>
      <c r="P16" s="118"/>
      <c r="Q16" s="118"/>
      <c r="R16" s="658">
        <v>2000</v>
      </c>
      <c r="S16" s="658"/>
      <c r="T16" s="658"/>
      <c r="U16" s="658"/>
      <c r="V16" s="118" t="s">
        <v>240</v>
      </c>
      <c r="W16" s="118"/>
      <c r="X16" s="118"/>
      <c r="Y16" s="118"/>
      <c r="Z16" s="118"/>
      <c r="AA16" s="164"/>
      <c r="AB16" s="118"/>
      <c r="AC16" s="118"/>
      <c r="AD16" s="118"/>
      <c r="AE16" s="153"/>
      <c r="AF16" s="121"/>
    </row>
    <row r="17" spans="2:32" ht="15" customHeight="1">
      <c r="B17" s="164" t="s">
        <v>236</v>
      </c>
      <c r="C17" s="153"/>
      <c r="D17" s="164" t="s">
        <v>229</v>
      </c>
      <c r="E17" s="118"/>
      <c r="F17" s="153"/>
      <c r="G17" s="174"/>
      <c r="H17" s="175">
        <v>0.02</v>
      </c>
      <c r="I17" s="164"/>
      <c r="J17" s="118"/>
      <c r="K17" s="118">
        <v>15</v>
      </c>
      <c r="L17" s="118" t="s">
        <v>251</v>
      </c>
      <c r="M17" s="118"/>
      <c r="N17" s="153"/>
      <c r="O17" s="118"/>
      <c r="P17" s="118"/>
      <c r="Q17" s="118"/>
      <c r="R17" s="658">
        <v>1000</v>
      </c>
      <c r="S17" s="658"/>
      <c r="T17" s="658"/>
      <c r="U17" s="658"/>
      <c r="V17" s="118" t="s">
        <v>240</v>
      </c>
      <c r="W17" s="118"/>
      <c r="X17" s="118"/>
      <c r="Y17" s="118"/>
      <c r="Z17" s="118"/>
      <c r="AA17" s="164"/>
      <c r="AB17" s="118"/>
      <c r="AC17" s="118"/>
      <c r="AD17" s="118"/>
      <c r="AE17" s="153"/>
      <c r="AF17" s="121"/>
    </row>
    <row r="18" spans="2:32" ht="15" customHeight="1" thickBot="1">
      <c r="B18" s="166" t="s">
        <v>237</v>
      </c>
      <c r="C18" s="171"/>
      <c r="D18" s="166" t="s">
        <v>252</v>
      </c>
      <c r="E18" s="167"/>
      <c r="F18" s="171"/>
      <c r="G18" s="176"/>
      <c r="H18" s="177">
        <v>0.03</v>
      </c>
      <c r="I18" s="166"/>
      <c r="J18" s="167"/>
      <c r="K18" s="167">
        <v>20</v>
      </c>
      <c r="L18" s="167" t="s">
        <v>253</v>
      </c>
      <c r="M18" s="167"/>
      <c r="N18" s="171"/>
      <c r="O18" s="167"/>
      <c r="P18" s="167"/>
      <c r="Q18" s="167"/>
      <c r="R18" s="659">
        <v>1000</v>
      </c>
      <c r="S18" s="659"/>
      <c r="T18" s="659"/>
      <c r="U18" s="659"/>
      <c r="V18" s="167" t="s">
        <v>240</v>
      </c>
      <c r="W18" s="167"/>
      <c r="X18" s="167"/>
      <c r="Y18" s="167"/>
      <c r="Z18" s="167"/>
      <c r="AA18" s="166"/>
      <c r="AB18" s="167"/>
      <c r="AC18" s="167"/>
      <c r="AD18" s="167"/>
      <c r="AE18" s="171"/>
      <c r="AF18" s="121"/>
    </row>
    <row r="19" ht="15" customHeight="1"/>
    <row r="20" ht="15" customHeight="1">
      <c r="B20" s="5" t="s">
        <v>244</v>
      </c>
    </row>
    <row r="21" ht="15" customHeight="1">
      <c r="C21" s="5" t="str">
        <f>'質問'!B21</f>
        <v>Ｑ１．昼休みに消灯していますか？</v>
      </c>
    </row>
    <row r="22" ht="15" customHeight="1">
      <c r="D22" s="5" t="s">
        <v>245</v>
      </c>
    </row>
    <row r="23" ht="15" customHeight="1">
      <c r="D23" s="5" t="s">
        <v>248</v>
      </c>
    </row>
    <row r="24" ht="15" customHeight="1"/>
    <row r="25" ht="15" customHeight="1">
      <c r="C25" s="5" t="str">
        <f>'質問'!B26</f>
        <v>Ｑ２．屋外からの採光にあわせて窓際は消灯していますか？</v>
      </c>
    </row>
    <row r="26" ht="15" customHeight="1">
      <c r="C26" s="5" t="str">
        <f>'質問'!B37</f>
        <v>Ｑ４．倉庫などの照明は普段消していますか？</v>
      </c>
    </row>
    <row r="27" ht="15" customHeight="1">
      <c r="C27" s="5" t="str">
        <f>'質問'!B42</f>
        <v>Ｑ５．トイレの照明は、非使用時に消灯していますか？</v>
      </c>
    </row>
    <row r="28" ht="13.5" customHeight="1">
      <c r="D28" s="5" t="s">
        <v>223</v>
      </c>
    </row>
    <row r="29" ht="13.5" customHeight="1"/>
    <row r="30" ht="13.5" customHeight="1" thickBot="1">
      <c r="D30" s="5" t="s">
        <v>211</v>
      </c>
    </row>
    <row r="31" spans="2:14" ht="13.5" customHeight="1" thickBot="1">
      <c r="B31" s="168"/>
      <c r="C31" s="170"/>
      <c r="D31" s="168" t="s">
        <v>212</v>
      </c>
      <c r="E31" s="169"/>
      <c r="F31" s="169"/>
      <c r="G31" s="169"/>
      <c r="H31" s="169"/>
      <c r="I31" s="169"/>
      <c r="J31" s="169"/>
      <c r="K31" s="169"/>
      <c r="L31" s="170"/>
      <c r="M31" s="653" t="s">
        <v>220</v>
      </c>
      <c r="N31" s="654"/>
    </row>
    <row r="32" spans="2:29" ht="13.5" customHeight="1">
      <c r="B32" s="165" t="s">
        <v>232</v>
      </c>
      <c r="C32" s="162"/>
      <c r="D32" s="180" t="s">
        <v>213</v>
      </c>
      <c r="E32" s="109"/>
      <c r="F32" s="109"/>
      <c r="G32" s="109"/>
      <c r="H32" s="109"/>
      <c r="I32" s="109"/>
      <c r="J32" s="109"/>
      <c r="K32" s="109"/>
      <c r="L32" s="152"/>
      <c r="M32" s="655">
        <v>0.8</v>
      </c>
      <c r="N32" s="656"/>
      <c r="R32" s="5" t="s">
        <v>247</v>
      </c>
      <c r="Y32" s="5">
        <v>1</v>
      </c>
      <c r="Z32" s="5" t="s">
        <v>254</v>
      </c>
      <c r="AA32" s="132">
        <f>M32</f>
        <v>0.8</v>
      </c>
      <c r="AB32" s="5" t="s">
        <v>255</v>
      </c>
      <c r="AC32" s="142">
        <f>Y32-AA32</f>
        <v>0.19999999999999996</v>
      </c>
    </row>
    <row r="33" spans="2:14" ht="13.5" customHeight="1">
      <c r="B33" s="164"/>
      <c r="C33" s="118"/>
      <c r="D33" s="181" t="s">
        <v>214</v>
      </c>
      <c r="E33" s="118"/>
      <c r="F33" s="118"/>
      <c r="G33" s="118"/>
      <c r="H33" s="118"/>
      <c r="I33" s="118"/>
      <c r="J33" s="118"/>
      <c r="K33" s="118"/>
      <c r="L33" s="153"/>
      <c r="M33" s="649">
        <v>0.8</v>
      </c>
      <c r="N33" s="650"/>
    </row>
    <row r="34" spans="2:14" ht="13.5" customHeight="1">
      <c r="B34" s="164"/>
      <c r="C34" s="118"/>
      <c r="D34" s="181" t="s">
        <v>215</v>
      </c>
      <c r="E34" s="118"/>
      <c r="F34" s="118"/>
      <c r="G34" s="118"/>
      <c r="H34" s="118"/>
      <c r="I34" s="118"/>
      <c r="J34" s="118"/>
      <c r="K34" s="118"/>
      <c r="L34" s="153"/>
      <c r="M34" s="649">
        <v>0.85</v>
      </c>
      <c r="N34" s="650"/>
    </row>
    <row r="35" spans="2:14" ht="13.5" customHeight="1">
      <c r="B35" s="164"/>
      <c r="C35" s="118"/>
      <c r="D35" s="181" t="s">
        <v>216</v>
      </c>
      <c r="E35" s="118"/>
      <c r="F35" s="118"/>
      <c r="G35" s="118"/>
      <c r="H35" s="118"/>
      <c r="I35" s="118"/>
      <c r="J35" s="118"/>
      <c r="K35" s="118"/>
      <c r="L35" s="153"/>
      <c r="M35" s="649">
        <v>0.9</v>
      </c>
      <c r="N35" s="650"/>
    </row>
    <row r="36" spans="2:29" ht="13.5" customHeight="1">
      <c r="B36" s="164" t="s">
        <v>233</v>
      </c>
      <c r="C36" s="118"/>
      <c r="D36" s="181" t="s">
        <v>217</v>
      </c>
      <c r="E36" s="118"/>
      <c r="F36" s="118"/>
      <c r="G36" s="118"/>
      <c r="H36" s="118"/>
      <c r="I36" s="118"/>
      <c r="J36" s="118"/>
      <c r="K36" s="118"/>
      <c r="L36" s="153"/>
      <c r="M36" s="649">
        <v>0.9</v>
      </c>
      <c r="N36" s="650"/>
      <c r="R36" s="5" t="s">
        <v>247</v>
      </c>
      <c r="Y36" s="5">
        <v>1</v>
      </c>
      <c r="Z36" s="5" t="s">
        <v>254</v>
      </c>
      <c r="AA36" s="132">
        <f>M36</f>
        <v>0.9</v>
      </c>
      <c r="AB36" s="5" t="s">
        <v>255</v>
      </c>
      <c r="AC36" s="142">
        <f>Y36-AA36</f>
        <v>0.09999999999999998</v>
      </c>
    </row>
    <row r="37" spans="2:14" ht="13.5" customHeight="1">
      <c r="B37" s="164"/>
      <c r="C37" s="118"/>
      <c r="D37" s="181" t="s">
        <v>218</v>
      </c>
      <c r="E37" s="118"/>
      <c r="F37" s="118"/>
      <c r="G37" s="118"/>
      <c r="H37" s="118"/>
      <c r="I37" s="118"/>
      <c r="J37" s="118"/>
      <c r="K37" s="118"/>
      <c r="L37" s="153"/>
      <c r="M37" s="649">
        <v>0.9</v>
      </c>
      <c r="N37" s="650"/>
    </row>
    <row r="38" spans="2:14" ht="13.5" customHeight="1" thickBot="1">
      <c r="B38" s="166"/>
      <c r="C38" s="167"/>
      <c r="D38" s="182" t="s">
        <v>219</v>
      </c>
      <c r="E38" s="167"/>
      <c r="F38" s="167"/>
      <c r="G38" s="167"/>
      <c r="H38" s="167"/>
      <c r="I38" s="167"/>
      <c r="J38" s="167"/>
      <c r="K38" s="167"/>
      <c r="L38" s="171"/>
      <c r="M38" s="651">
        <v>0.9</v>
      </c>
      <c r="N38" s="652"/>
    </row>
    <row r="39" spans="4:14" ht="13.5" customHeight="1">
      <c r="D39" s="121"/>
      <c r="E39" s="121"/>
      <c r="F39" s="121"/>
      <c r="G39" s="121"/>
      <c r="H39" s="121"/>
      <c r="I39" s="121"/>
      <c r="J39" s="121"/>
      <c r="K39" s="121"/>
      <c r="L39" s="121"/>
      <c r="M39" s="135"/>
      <c r="N39" s="135"/>
    </row>
    <row r="40" ht="15" customHeight="1">
      <c r="C40" s="5" t="str">
        <f>'質問'!B32</f>
        <v>Ｑ３．廊下の照明は間引き点灯していますか？</v>
      </c>
    </row>
    <row r="41" spans="4:22" ht="15" customHeight="1">
      <c r="D41" s="5" t="s">
        <v>246</v>
      </c>
      <c r="N41" s="5" t="s">
        <v>256</v>
      </c>
      <c r="V41" s="5">
        <v>0.5</v>
      </c>
    </row>
    <row r="42" ht="15" customHeight="1"/>
    <row r="43" ht="15" customHeight="1">
      <c r="A43" s="5" t="str">
        <f>'質問'!B48</f>
        <v>Ｑ６．冷房の設定温度は、28℃にしていますか？</v>
      </c>
    </row>
    <row r="44" spans="1:14" ht="13.5" customHeight="1">
      <c r="A44" s="5" t="str">
        <f>'質問'!B53</f>
        <v>Ｑ７．暖房の設定温度は、20℃にしていますか？</v>
      </c>
      <c r="D44" s="121"/>
      <c r="E44" s="121"/>
      <c r="F44" s="121"/>
      <c r="G44" s="121"/>
      <c r="H44" s="121"/>
      <c r="I44" s="121"/>
      <c r="J44" s="121"/>
      <c r="K44" s="121"/>
      <c r="L44" s="121"/>
      <c r="M44" s="135"/>
      <c r="N44" s="135"/>
    </row>
    <row r="45" spans="1:14" ht="13.5" customHeight="1">
      <c r="A45" s="5" t="str">
        <f>'質問'!B58</f>
        <v>Ｑ８．使用していない部屋の空調は消していますか？</v>
      </c>
      <c r="D45" s="121"/>
      <c r="E45" s="121"/>
      <c r="F45" s="121"/>
      <c r="G45" s="121"/>
      <c r="H45" s="121"/>
      <c r="I45" s="121"/>
      <c r="J45" s="121"/>
      <c r="K45" s="121"/>
      <c r="L45" s="121"/>
      <c r="M45" s="135"/>
      <c r="N45" s="135"/>
    </row>
    <row r="46" spans="1:14" ht="13.5" customHeight="1">
      <c r="A46" s="5" t="str">
        <f>'質問'!B63</f>
        <v>Ｑ９．冷暖房時に窓・扉は閉めていますか？</v>
      </c>
      <c r="D46" s="121"/>
      <c r="E46" s="121"/>
      <c r="F46" s="121"/>
      <c r="G46" s="121"/>
      <c r="H46" s="121"/>
      <c r="I46" s="121"/>
      <c r="J46" s="121"/>
      <c r="K46" s="121"/>
      <c r="L46" s="121"/>
      <c r="M46" s="135"/>
      <c r="N46" s="135"/>
    </row>
    <row r="47" spans="1:14" ht="13.5" customHeight="1">
      <c r="A47" s="5" t="str">
        <f>'質問'!B69</f>
        <v>Ｑ１０．昼間の冷房時にブラインドを降ろしていますか？</v>
      </c>
      <c r="D47" s="121"/>
      <c r="E47" s="121"/>
      <c r="F47" s="121"/>
      <c r="G47" s="121"/>
      <c r="H47" s="121"/>
      <c r="I47" s="121"/>
      <c r="J47" s="121"/>
      <c r="K47" s="121"/>
      <c r="L47" s="121"/>
      <c r="M47" s="135"/>
      <c r="N47" s="135"/>
    </row>
    <row r="48" spans="1:14" ht="13.5" customHeight="1">
      <c r="A48" s="5" t="str">
        <f>'質問'!B74</f>
        <v>Ｑ１１．退庁時にブラインドを降ろしていますか？</v>
      </c>
      <c r="D48" s="121"/>
      <c r="E48" s="121"/>
      <c r="F48" s="121"/>
      <c r="G48" s="121"/>
      <c r="H48" s="121"/>
      <c r="I48" s="121"/>
      <c r="J48" s="121"/>
      <c r="K48" s="121"/>
      <c r="L48" s="121"/>
      <c r="M48" s="135"/>
      <c r="N48" s="135"/>
    </row>
    <row r="49" spans="4:14" ht="13.5" customHeight="1">
      <c r="D49" s="121"/>
      <c r="E49" s="121"/>
      <c r="F49" s="121"/>
      <c r="G49" s="121"/>
      <c r="H49" s="121"/>
      <c r="I49" s="121"/>
      <c r="J49" s="121"/>
      <c r="K49" s="121"/>
      <c r="L49" s="121"/>
      <c r="M49" s="135"/>
      <c r="N49" s="135"/>
    </row>
    <row r="50" ht="15" customHeight="1">
      <c r="B50" s="5" t="s">
        <v>231</v>
      </c>
    </row>
    <row r="51" ht="15" customHeight="1">
      <c r="C51" s="5" t="s">
        <v>258</v>
      </c>
    </row>
    <row r="52" ht="15" customHeight="1">
      <c r="C52" s="5" t="s">
        <v>259</v>
      </c>
    </row>
    <row r="53" ht="15" customHeight="1">
      <c r="C53" s="5" t="s">
        <v>260</v>
      </c>
    </row>
    <row r="54" ht="15" customHeight="1">
      <c r="C54" s="5" t="s">
        <v>261</v>
      </c>
    </row>
    <row r="55" ht="15" customHeight="1" thickBot="1"/>
    <row r="56" spans="3:27" ht="15" customHeight="1">
      <c r="C56" s="147"/>
      <c r="D56" s="148"/>
      <c r="E56" s="148"/>
      <c r="F56" s="150"/>
      <c r="G56" s="147" t="s">
        <v>264</v>
      </c>
      <c r="H56" s="148"/>
      <c r="I56" s="148"/>
      <c r="J56" s="148"/>
      <c r="K56" s="148"/>
      <c r="L56" s="148"/>
      <c r="M56" s="148"/>
      <c r="N56" s="150"/>
      <c r="O56" s="148"/>
      <c r="P56" s="148"/>
      <c r="Q56" s="148" t="s">
        <v>266</v>
      </c>
      <c r="R56" s="148"/>
      <c r="S56" s="148"/>
      <c r="T56" s="148"/>
      <c r="U56" s="148"/>
      <c r="V56" s="148"/>
      <c r="W56" s="148"/>
      <c r="X56" s="148"/>
      <c r="Y56" s="148"/>
      <c r="Z56" s="148"/>
      <c r="AA56" s="150"/>
    </row>
    <row r="57" spans="3:27" ht="15" customHeight="1" thickBot="1">
      <c r="C57" s="156"/>
      <c r="D57" s="159"/>
      <c r="E57" s="159"/>
      <c r="F57" s="160"/>
      <c r="G57" s="156" t="s">
        <v>265</v>
      </c>
      <c r="H57" s="159"/>
      <c r="I57" s="159"/>
      <c r="J57" s="159"/>
      <c r="K57" s="159"/>
      <c r="L57" s="159"/>
      <c r="M57" s="159"/>
      <c r="N57" s="160"/>
      <c r="O57" s="159"/>
      <c r="P57" s="159"/>
      <c r="Q57" s="159"/>
      <c r="R57" s="159"/>
      <c r="S57" s="159"/>
      <c r="T57" s="159"/>
      <c r="U57" s="159"/>
      <c r="V57" s="159"/>
      <c r="W57" s="159"/>
      <c r="X57" s="159"/>
      <c r="Y57" s="159"/>
      <c r="Z57" s="159"/>
      <c r="AA57" s="160"/>
    </row>
    <row r="58" spans="3:27" ht="15" customHeight="1">
      <c r="C58" s="147" t="s">
        <v>262</v>
      </c>
      <c r="D58" s="149"/>
      <c r="E58" s="161" t="s">
        <v>268</v>
      </c>
      <c r="F58" s="163"/>
      <c r="G58" s="239">
        <v>80</v>
      </c>
      <c r="H58" s="162" t="s">
        <v>267</v>
      </c>
      <c r="I58" s="162"/>
      <c r="J58" s="162"/>
      <c r="K58" s="242">
        <f>G58*4.186</f>
        <v>334.88</v>
      </c>
      <c r="L58" s="162" t="s">
        <v>2</v>
      </c>
      <c r="M58" s="162"/>
      <c r="N58" s="163"/>
      <c r="O58" s="162"/>
      <c r="P58" s="162"/>
      <c r="Q58" s="162"/>
      <c r="R58" s="162"/>
      <c r="S58" s="162"/>
      <c r="T58" s="162"/>
      <c r="U58" s="162"/>
      <c r="V58" s="242">
        <v>800</v>
      </c>
      <c r="W58" s="162" t="s">
        <v>746</v>
      </c>
      <c r="X58" s="162"/>
      <c r="Y58" s="162"/>
      <c r="Z58" s="162"/>
      <c r="AA58" s="163"/>
    </row>
    <row r="59" spans="3:27" ht="15" customHeight="1">
      <c r="C59" s="154"/>
      <c r="D59" s="133"/>
      <c r="E59" s="117" t="s">
        <v>269</v>
      </c>
      <c r="F59" s="153"/>
      <c r="G59" s="240">
        <v>90</v>
      </c>
      <c r="H59" s="118" t="s">
        <v>267</v>
      </c>
      <c r="I59" s="118"/>
      <c r="J59" s="118"/>
      <c r="K59" s="183">
        <f>G59*4.186</f>
        <v>376.74</v>
      </c>
      <c r="L59" s="118" t="s">
        <v>2</v>
      </c>
      <c r="M59" s="118"/>
      <c r="N59" s="153"/>
      <c r="O59" s="118"/>
      <c r="P59" s="118"/>
      <c r="Q59" s="118"/>
      <c r="R59" s="118"/>
      <c r="S59" s="118"/>
      <c r="T59" s="118"/>
      <c r="U59" s="118"/>
      <c r="V59" s="183">
        <v>778</v>
      </c>
      <c r="W59" s="118" t="s">
        <v>746</v>
      </c>
      <c r="X59" s="118"/>
      <c r="Y59" s="118"/>
      <c r="Z59" s="118"/>
      <c r="AA59" s="153"/>
    </row>
    <row r="60" spans="3:27" ht="15" customHeight="1">
      <c r="C60" s="154"/>
      <c r="D60" s="133"/>
      <c r="E60" s="117" t="s">
        <v>270</v>
      </c>
      <c r="F60" s="153"/>
      <c r="G60" s="240">
        <v>80</v>
      </c>
      <c r="H60" s="118" t="s">
        <v>267</v>
      </c>
      <c r="I60" s="118"/>
      <c r="J60" s="118"/>
      <c r="K60" s="183">
        <f>G60*4.186</f>
        <v>334.88</v>
      </c>
      <c r="L60" s="118" t="s">
        <v>2</v>
      </c>
      <c r="M60" s="118"/>
      <c r="N60" s="153"/>
      <c r="O60" s="118"/>
      <c r="P60" s="118"/>
      <c r="Q60" s="118"/>
      <c r="R60" s="118"/>
      <c r="S60" s="118"/>
      <c r="T60" s="118"/>
      <c r="U60" s="118"/>
      <c r="V60" s="183">
        <v>800</v>
      </c>
      <c r="W60" s="118" t="s">
        <v>746</v>
      </c>
      <c r="X60" s="118"/>
      <c r="Y60" s="118"/>
      <c r="Z60" s="118"/>
      <c r="AA60" s="153"/>
    </row>
    <row r="61" spans="3:27" ht="15" customHeight="1" thickBot="1">
      <c r="C61" s="154"/>
      <c r="D61" s="133"/>
      <c r="E61" s="145" t="s">
        <v>271</v>
      </c>
      <c r="F61" s="155"/>
      <c r="G61" s="241">
        <v>90</v>
      </c>
      <c r="H61" s="146" t="s">
        <v>267</v>
      </c>
      <c r="I61" s="146"/>
      <c r="J61" s="146"/>
      <c r="K61" s="243">
        <f>G61*4.186</f>
        <v>376.74</v>
      </c>
      <c r="L61" s="146" t="s">
        <v>2</v>
      </c>
      <c r="M61" s="146"/>
      <c r="N61" s="155"/>
      <c r="O61" s="146"/>
      <c r="P61" s="146"/>
      <c r="Q61" s="146"/>
      <c r="R61" s="146"/>
      <c r="S61" s="146"/>
      <c r="T61" s="146"/>
      <c r="U61" s="146"/>
      <c r="V61" s="243">
        <v>467</v>
      </c>
      <c r="W61" s="146" t="s">
        <v>746</v>
      </c>
      <c r="X61" s="146"/>
      <c r="Y61" s="146"/>
      <c r="Z61" s="146"/>
      <c r="AA61" s="155"/>
    </row>
    <row r="62" spans="3:27" ht="15" customHeight="1" thickBot="1" thickTop="1">
      <c r="C62" s="154"/>
      <c r="D62" s="133"/>
      <c r="E62" s="235" t="s">
        <v>263</v>
      </c>
      <c r="F62" s="236"/>
      <c r="G62" s="238">
        <f>AVERAGE(G58:G61)</f>
        <v>85</v>
      </c>
      <c r="H62" s="237" t="s">
        <v>267</v>
      </c>
      <c r="I62" s="237"/>
      <c r="J62" s="237"/>
      <c r="K62" s="244">
        <f>AVERAGE(K58:K61)</f>
        <v>355.81</v>
      </c>
      <c r="L62" s="237" t="s">
        <v>2</v>
      </c>
      <c r="M62" s="237"/>
      <c r="N62" s="236"/>
      <c r="O62" s="237"/>
      <c r="P62" s="237"/>
      <c r="Q62" s="237"/>
      <c r="R62" s="237"/>
      <c r="S62" s="237"/>
      <c r="T62" s="237"/>
      <c r="U62" s="237"/>
      <c r="V62" s="244">
        <f>AVERAGE(V58:V61)</f>
        <v>711.25</v>
      </c>
      <c r="W62" s="237" t="s">
        <v>746</v>
      </c>
      <c r="X62" s="237"/>
      <c r="Y62" s="237"/>
      <c r="Z62" s="237"/>
      <c r="AA62" s="236"/>
    </row>
    <row r="63" spans="3:27" ht="15" customHeight="1" thickBot="1" thickTop="1">
      <c r="C63" s="156"/>
      <c r="D63" s="157"/>
      <c r="E63" s="158" t="s">
        <v>411</v>
      </c>
      <c r="F63" s="160"/>
      <c r="G63" s="178">
        <f>K63/4.186</f>
        <v>83.61204013377926</v>
      </c>
      <c r="H63" s="159" t="s">
        <v>412</v>
      </c>
      <c r="I63" s="159"/>
      <c r="J63" s="159"/>
      <c r="K63" s="245">
        <v>350</v>
      </c>
      <c r="L63" s="159" t="s">
        <v>413</v>
      </c>
      <c r="M63" s="159"/>
      <c r="N63" s="160"/>
      <c r="O63" s="159"/>
      <c r="P63" s="159"/>
      <c r="Q63" s="159"/>
      <c r="R63" s="159"/>
      <c r="S63" s="159"/>
      <c r="T63" s="159"/>
      <c r="U63" s="159"/>
      <c r="V63" s="245">
        <v>800</v>
      </c>
      <c r="W63" s="159" t="s">
        <v>746</v>
      </c>
      <c r="X63" s="159"/>
      <c r="Y63" s="159"/>
      <c r="Z63" s="159"/>
      <c r="AA63" s="160"/>
    </row>
    <row r="64" spans="3:27" ht="15" customHeight="1">
      <c r="C64" s="147" t="s">
        <v>0</v>
      </c>
      <c r="D64" s="149"/>
      <c r="E64" s="161" t="s">
        <v>268</v>
      </c>
      <c r="F64" s="163"/>
      <c r="G64" s="239">
        <v>60</v>
      </c>
      <c r="H64" s="162" t="s">
        <v>267</v>
      </c>
      <c r="I64" s="162"/>
      <c r="J64" s="162"/>
      <c r="K64" s="242">
        <f>G64*4.186</f>
        <v>251.16</v>
      </c>
      <c r="L64" s="162" t="s">
        <v>2</v>
      </c>
      <c r="M64" s="162"/>
      <c r="N64" s="163"/>
      <c r="O64" s="162"/>
      <c r="P64" s="162"/>
      <c r="Q64" s="162"/>
      <c r="R64" s="162"/>
      <c r="S64" s="162"/>
      <c r="T64" s="162"/>
      <c r="U64" s="162"/>
      <c r="V64" s="242">
        <v>500</v>
      </c>
      <c r="W64" s="162" t="s">
        <v>746</v>
      </c>
      <c r="X64" s="162"/>
      <c r="Y64" s="162"/>
      <c r="Z64" s="162"/>
      <c r="AA64" s="163"/>
    </row>
    <row r="65" spans="3:27" ht="15" customHeight="1">
      <c r="C65" s="154"/>
      <c r="D65" s="133"/>
      <c r="E65" s="117" t="s">
        <v>269</v>
      </c>
      <c r="F65" s="153"/>
      <c r="G65" s="240">
        <v>50</v>
      </c>
      <c r="H65" s="118" t="s">
        <v>267</v>
      </c>
      <c r="I65" s="118"/>
      <c r="J65" s="118"/>
      <c r="K65" s="183">
        <f>G65*4.186</f>
        <v>209.3</v>
      </c>
      <c r="L65" s="118" t="s">
        <v>2</v>
      </c>
      <c r="M65" s="118"/>
      <c r="N65" s="153"/>
      <c r="O65" s="118"/>
      <c r="P65" s="118"/>
      <c r="Q65" s="118"/>
      <c r="R65" s="118"/>
      <c r="S65" s="118"/>
      <c r="T65" s="118"/>
      <c r="U65" s="118"/>
      <c r="V65" s="183">
        <v>620</v>
      </c>
      <c r="W65" s="118" t="s">
        <v>746</v>
      </c>
      <c r="X65" s="118"/>
      <c r="Y65" s="118"/>
      <c r="Z65" s="118"/>
      <c r="AA65" s="153"/>
    </row>
    <row r="66" spans="3:27" ht="15" customHeight="1">
      <c r="C66" s="154"/>
      <c r="D66" s="133"/>
      <c r="E66" s="117" t="s">
        <v>270</v>
      </c>
      <c r="F66" s="153"/>
      <c r="G66" s="240">
        <v>60</v>
      </c>
      <c r="H66" s="118" t="s">
        <v>267</v>
      </c>
      <c r="I66" s="118"/>
      <c r="J66" s="118"/>
      <c r="K66" s="183">
        <f>G66*4.186</f>
        <v>251.16</v>
      </c>
      <c r="L66" s="118" t="s">
        <v>2</v>
      </c>
      <c r="M66" s="118"/>
      <c r="N66" s="153"/>
      <c r="O66" s="118"/>
      <c r="P66" s="118"/>
      <c r="Q66" s="118"/>
      <c r="R66" s="118"/>
      <c r="S66" s="118"/>
      <c r="T66" s="118"/>
      <c r="U66" s="118"/>
      <c r="V66" s="183">
        <v>500</v>
      </c>
      <c r="W66" s="118" t="s">
        <v>746</v>
      </c>
      <c r="X66" s="118"/>
      <c r="Y66" s="118"/>
      <c r="Z66" s="118"/>
      <c r="AA66" s="153"/>
    </row>
    <row r="67" spans="3:27" ht="15" customHeight="1" thickBot="1">
      <c r="C67" s="154"/>
      <c r="D67" s="133"/>
      <c r="E67" s="145" t="s">
        <v>271</v>
      </c>
      <c r="F67" s="155"/>
      <c r="G67" s="241">
        <v>60</v>
      </c>
      <c r="H67" s="146" t="s">
        <v>267</v>
      </c>
      <c r="I67" s="146"/>
      <c r="J67" s="146"/>
      <c r="K67" s="243">
        <f>G67*4.186</f>
        <v>251.16</v>
      </c>
      <c r="L67" s="146" t="s">
        <v>2</v>
      </c>
      <c r="M67" s="146"/>
      <c r="N67" s="155"/>
      <c r="O67" s="146"/>
      <c r="P67" s="146"/>
      <c r="Q67" s="146"/>
      <c r="R67" s="146"/>
      <c r="S67" s="146"/>
      <c r="T67" s="146"/>
      <c r="U67" s="146"/>
      <c r="V67" s="243">
        <v>367</v>
      </c>
      <c r="W67" s="146" t="s">
        <v>746</v>
      </c>
      <c r="X67" s="146"/>
      <c r="Y67" s="146"/>
      <c r="Z67" s="146"/>
      <c r="AA67" s="155"/>
    </row>
    <row r="68" spans="3:27" ht="15" customHeight="1" thickBot="1" thickTop="1">
      <c r="C68" s="154"/>
      <c r="D68" s="133"/>
      <c r="E68" s="235" t="s">
        <v>263</v>
      </c>
      <c r="F68" s="236"/>
      <c r="G68" s="238">
        <f>AVERAGE(G64:G67)</f>
        <v>57.5</v>
      </c>
      <c r="H68" s="237" t="s">
        <v>267</v>
      </c>
      <c r="I68" s="237"/>
      <c r="J68" s="237"/>
      <c r="K68" s="244">
        <f>AVERAGE(K64:K67)</f>
        <v>240.695</v>
      </c>
      <c r="L68" s="237" t="s">
        <v>2</v>
      </c>
      <c r="M68" s="237"/>
      <c r="N68" s="236"/>
      <c r="O68" s="237"/>
      <c r="P68" s="237"/>
      <c r="Q68" s="237"/>
      <c r="R68" s="237"/>
      <c r="S68" s="237"/>
      <c r="T68" s="237"/>
      <c r="U68" s="237"/>
      <c r="V68" s="244">
        <f>AVERAGE(V64:V67)</f>
        <v>496.75</v>
      </c>
      <c r="W68" s="237" t="s">
        <v>746</v>
      </c>
      <c r="X68" s="237"/>
      <c r="Y68" s="237"/>
      <c r="Z68" s="237"/>
      <c r="AA68" s="236"/>
    </row>
    <row r="69" spans="3:27" ht="15" customHeight="1" thickBot="1" thickTop="1">
      <c r="C69" s="156"/>
      <c r="D69" s="157"/>
      <c r="E69" s="158" t="s">
        <v>411</v>
      </c>
      <c r="F69" s="160"/>
      <c r="G69" s="178">
        <f>K69/4.186</f>
        <v>59.72288580984233</v>
      </c>
      <c r="H69" s="159" t="s">
        <v>412</v>
      </c>
      <c r="I69" s="159"/>
      <c r="J69" s="159"/>
      <c r="K69" s="245">
        <v>250</v>
      </c>
      <c r="L69" s="159" t="s">
        <v>413</v>
      </c>
      <c r="M69" s="159"/>
      <c r="N69" s="160"/>
      <c r="O69" s="159"/>
      <c r="P69" s="159"/>
      <c r="Q69" s="159"/>
      <c r="R69" s="159"/>
      <c r="S69" s="159"/>
      <c r="T69" s="159"/>
      <c r="U69" s="159"/>
      <c r="V69" s="245">
        <v>600</v>
      </c>
      <c r="W69" s="159" t="s">
        <v>746</v>
      </c>
      <c r="X69" s="159"/>
      <c r="Y69" s="159"/>
      <c r="Z69" s="159"/>
      <c r="AA69" s="160"/>
    </row>
    <row r="70" spans="3:27" ht="15" customHeight="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row>
    <row r="71" spans="2:13" ht="15" customHeight="1">
      <c r="B71" s="5" t="s">
        <v>244</v>
      </c>
      <c r="D71" s="121"/>
      <c r="E71" s="121"/>
      <c r="F71" s="121"/>
      <c r="G71" s="121"/>
      <c r="H71" s="121"/>
      <c r="I71" s="121"/>
      <c r="J71" s="121"/>
      <c r="K71" s="121"/>
      <c r="L71" s="121"/>
      <c r="M71" s="121"/>
    </row>
    <row r="72" spans="3:13" ht="13.5" customHeight="1">
      <c r="C72" s="5" t="str">
        <f>'質問'!B48</f>
        <v>Ｑ６．冷房の設定温度は、28℃にしていますか？</v>
      </c>
      <c r="D72" s="121"/>
      <c r="E72" s="121"/>
      <c r="F72" s="121"/>
      <c r="G72" s="121"/>
      <c r="H72" s="121"/>
      <c r="I72" s="121"/>
      <c r="J72" s="121"/>
      <c r="K72" s="121"/>
      <c r="L72" s="121"/>
      <c r="M72" s="121"/>
    </row>
    <row r="73" spans="3:13" ht="13.5" customHeight="1">
      <c r="C73" s="5" t="str">
        <f>'質問'!B53</f>
        <v>Ｑ７．暖房の設定温度は、20℃にしていますか？</v>
      </c>
      <c r="D73" s="121"/>
      <c r="E73" s="121"/>
      <c r="F73" s="121"/>
      <c r="G73" s="121"/>
      <c r="H73" s="121"/>
      <c r="I73" s="121"/>
      <c r="J73" s="121"/>
      <c r="K73" s="121"/>
      <c r="L73" s="121"/>
      <c r="M73" s="121"/>
    </row>
    <row r="74" spans="3:13" ht="13.5" customHeight="1">
      <c r="C74" s="5" t="str">
        <f>'質問'!B63</f>
        <v>Ｑ９．冷暖房時に窓・扉は閉めていますか？</v>
      </c>
      <c r="D74" s="121"/>
      <c r="E74" s="121"/>
      <c r="F74" s="121"/>
      <c r="G74" s="121"/>
      <c r="H74" s="121"/>
      <c r="I74" s="121"/>
      <c r="J74" s="121"/>
      <c r="K74" s="121"/>
      <c r="L74" s="121"/>
      <c r="M74" s="121"/>
    </row>
    <row r="75" spans="3:13" ht="13.5" customHeight="1">
      <c r="C75" s="5" t="str">
        <f>'質問'!B69</f>
        <v>Ｑ１０．昼間の冷房時にブラインドを降ろしていますか？</v>
      </c>
      <c r="D75" s="121"/>
      <c r="E75" s="121"/>
      <c r="F75" s="121"/>
      <c r="G75" s="121"/>
      <c r="H75" s="121"/>
      <c r="I75" s="121"/>
      <c r="J75" s="121"/>
      <c r="K75" s="121"/>
      <c r="L75" s="121"/>
      <c r="M75" s="121"/>
    </row>
    <row r="76" spans="3:13" ht="13.5" customHeight="1">
      <c r="C76" s="5" t="str">
        <f>'質問'!B74</f>
        <v>Ｑ１１．退庁時にブラインドを降ろしていますか？</v>
      </c>
      <c r="D76" s="121"/>
      <c r="E76" s="121"/>
      <c r="F76" s="121"/>
      <c r="G76" s="121"/>
      <c r="H76" s="121"/>
      <c r="I76" s="121"/>
      <c r="J76" s="121"/>
      <c r="K76" s="121"/>
      <c r="L76" s="121"/>
      <c r="M76" s="121"/>
    </row>
    <row r="77" spans="4:13" ht="13.5" customHeight="1">
      <c r="D77" s="121" t="s">
        <v>321</v>
      </c>
      <c r="E77" s="121"/>
      <c r="F77" s="121"/>
      <c r="G77" s="121"/>
      <c r="H77" s="121"/>
      <c r="I77" s="121"/>
      <c r="J77" s="121"/>
      <c r="K77" s="121"/>
      <c r="L77" s="121"/>
      <c r="M77" s="121"/>
    </row>
    <row r="78" spans="4:13" ht="13.5" customHeight="1">
      <c r="D78" s="121"/>
      <c r="E78" s="121"/>
      <c r="F78" s="121"/>
      <c r="G78" s="121"/>
      <c r="H78" s="121"/>
      <c r="I78" s="121"/>
      <c r="J78" s="121"/>
      <c r="K78" s="121"/>
      <c r="L78" s="121"/>
      <c r="M78" s="121"/>
    </row>
    <row r="79" spans="4:13" ht="13.5" customHeight="1">
      <c r="D79" s="121" t="s">
        <v>272</v>
      </c>
      <c r="E79" s="121"/>
      <c r="F79" s="121"/>
      <c r="G79" s="121"/>
      <c r="H79" s="121"/>
      <c r="I79" s="121"/>
      <c r="J79" s="121"/>
      <c r="K79" s="121"/>
      <c r="L79" s="121"/>
      <c r="M79" s="121"/>
    </row>
    <row r="80" spans="4:13" ht="13.5" customHeight="1" thickBot="1">
      <c r="D80" s="121"/>
      <c r="E80" s="121"/>
      <c r="F80" s="121"/>
      <c r="G80" s="121"/>
      <c r="H80" s="121"/>
      <c r="I80" s="121"/>
      <c r="J80" s="121"/>
      <c r="K80" s="121"/>
      <c r="L80" s="121"/>
      <c r="M80" s="121"/>
    </row>
    <row r="81" spans="4:20" ht="18.75" customHeight="1" thickTop="1">
      <c r="D81" s="124"/>
      <c r="E81" s="179"/>
      <c r="F81" s="633" t="s">
        <v>222</v>
      </c>
      <c r="G81" s="634"/>
      <c r="H81" s="634"/>
      <c r="I81" s="634"/>
      <c r="J81" s="634"/>
      <c r="K81" s="635"/>
      <c r="L81" s="179"/>
      <c r="M81" s="125"/>
      <c r="O81" s="119"/>
      <c r="P81" s="117"/>
      <c r="Q81" s="116">
        <v>3.2</v>
      </c>
      <c r="S81" s="648" t="s">
        <v>257</v>
      </c>
      <c r="T81" s="648"/>
    </row>
    <row r="82" spans="4:20" ht="18.75" customHeight="1">
      <c r="D82" s="127"/>
      <c r="E82" s="121"/>
      <c r="F82" s="636"/>
      <c r="G82" s="637"/>
      <c r="H82" s="637"/>
      <c r="I82" s="637"/>
      <c r="J82" s="637"/>
      <c r="K82" s="638"/>
      <c r="L82" s="121"/>
      <c r="M82" s="128"/>
      <c r="O82" s="119"/>
      <c r="P82" s="117"/>
      <c r="Q82" s="116">
        <v>3.2</v>
      </c>
      <c r="S82" s="122"/>
      <c r="T82" s="123"/>
    </row>
    <row r="83" spans="4:29" ht="18.75" customHeight="1" thickBot="1">
      <c r="D83" s="127"/>
      <c r="E83" s="121"/>
      <c r="F83" s="639"/>
      <c r="G83" s="640"/>
      <c r="H83" s="640"/>
      <c r="I83" s="640"/>
      <c r="J83" s="640"/>
      <c r="K83" s="641"/>
      <c r="L83" s="121"/>
      <c r="M83" s="128"/>
      <c r="O83" s="119"/>
      <c r="P83" s="117"/>
      <c r="Q83" s="116">
        <v>3.2</v>
      </c>
      <c r="S83" s="111"/>
      <c r="T83" s="126"/>
      <c r="AC83" s="121"/>
    </row>
    <row r="84" spans="4:29" ht="18.75" customHeight="1" thickTop="1">
      <c r="D84" s="127"/>
      <c r="E84" s="121"/>
      <c r="F84" s="642" t="s">
        <v>221</v>
      </c>
      <c r="G84" s="643"/>
      <c r="H84" s="643"/>
      <c r="I84" s="643"/>
      <c r="J84" s="643"/>
      <c r="K84" s="644"/>
      <c r="L84" s="121"/>
      <c r="M84" s="128"/>
      <c r="O84" s="119"/>
      <c r="P84" s="117"/>
      <c r="Q84" s="116">
        <v>3.2</v>
      </c>
      <c r="R84" s="632">
        <v>25.6</v>
      </c>
      <c r="V84" s="144">
        <v>1</v>
      </c>
      <c r="W84" s="119"/>
      <c r="X84" s="117"/>
      <c r="Y84" s="136"/>
      <c r="Z84" s="140"/>
      <c r="AA84" s="141"/>
      <c r="AB84" s="141"/>
      <c r="AC84" s="121"/>
    </row>
    <row r="85" spans="4:29" ht="18.75" customHeight="1">
      <c r="D85" s="127"/>
      <c r="E85" s="121"/>
      <c r="F85" s="645"/>
      <c r="G85" s="646"/>
      <c r="H85" s="646"/>
      <c r="I85" s="646"/>
      <c r="J85" s="646"/>
      <c r="K85" s="647"/>
      <c r="L85" s="121"/>
      <c r="M85" s="128"/>
      <c r="O85" s="119"/>
      <c r="P85" s="117"/>
      <c r="Q85" s="116">
        <v>3.2</v>
      </c>
      <c r="R85" s="632"/>
      <c r="W85" s="111"/>
      <c r="X85" s="126"/>
      <c r="Z85" s="127"/>
      <c r="AC85" s="121"/>
    </row>
    <row r="86" spans="4:29" ht="18.75" customHeight="1">
      <c r="D86" s="127"/>
      <c r="E86" s="121"/>
      <c r="F86" s="121"/>
      <c r="G86" s="121"/>
      <c r="H86" s="121"/>
      <c r="I86" s="121"/>
      <c r="J86" s="121"/>
      <c r="K86" s="121"/>
      <c r="L86" s="121"/>
      <c r="M86" s="128"/>
      <c r="O86" s="119"/>
      <c r="P86" s="117"/>
      <c r="Q86" s="116">
        <v>3.2</v>
      </c>
      <c r="V86" s="144">
        <v>1.6</v>
      </c>
      <c r="W86" s="133"/>
      <c r="X86" s="134"/>
      <c r="Z86" s="127"/>
      <c r="AC86" s="121"/>
    </row>
    <row r="87" spans="4:29" ht="18.75" customHeight="1">
      <c r="D87" s="127"/>
      <c r="E87" s="121"/>
      <c r="F87" s="121"/>
      <c r="G87" s="121"/>
      <c r="H87" s="121"/>
      <c r="I87" s="121"/>
      <c r="J87" s="121"/>
      <c r="K87" s="121"/>
      <c r="L87" s="121"/>
      <c r="M87" s="128"/>
      <c r="O87" s="119"/>
      <c r="P87" s="117"/>
      <c r="Q87" s="116">
        <v>3.2</v>
      </c>
      <c r="W87" s="110"/>
      <c r="X87" s="123"/>
      <c r="Z87" s="127"/>
      <c r="AA87" s="121"/>
      <c r="AB87" s="121"/>
      <c r="AC87" s="121"/>
    </row>
    <row r="88" spans="4:29" ht="18.75" customHeight="1" thickBot="1">
      <c r="D88" s="129"/>
      <c r="E88" s="120"/>
      <c r="F88" s="120"/>
      <c r="G88" s="120"/>
      <c r="H88" s="120"/>
      <c r="I88" s="120"/>
      <c r="J88" s="120"/>
      <c r="K88" s="120"/>
      <c r="L88" s="120"/>
      <c r="M88" s="130"/>
      <c r="O88" s="119"/>
      <c r="P88" s="117"/>
      <c r="Q88" s="116">
        <v>3.2</v>
      </c>
      <c r="V88" s="144">
        <v>1</v>
      </c>
      <c r="W88" s="119"/>
      <c r="X88" s="117"/>
      <c r="Y88" s="136"/>
      <c r="Z88" s="143"/>
      <c r="AA88" s="137"/>
      <c r="AB88" s="138"/>
      <c r="AC88" s="121"/>
    </row>
    <row r="89" spans="25:29" ht="12" thickTop="1">
      <c r="Y89" s="136"/>
      <c r="Z89" s="139"/>
      <c r="AA89" s="141"/>
      <c r="AB89" s="141"/>
      <c r="AC89" s="121"/>
    </row>
    <row r="90" spans="4:13" ht="3.75" customHeight="1">
      <c r="D90" s="112"/>
      <c r="E90" s="112"/>
      <c r="F90" s="112"/>
      <c r="G90" s="112"/>
      <c r="H90" s="112"/>
      <c r="I90" s="112"/>
      <c r="J90" s="112"/>
      <c r="K90" s="112"/>
      <c r="L90" s="112"/>
      <c r="M90" s="112"/>
    </row>
    <row r="91" spans="4:13" ht="3" customHeight="1">
      <c r="D91" s="113"/>
      <c r="E91" s="113"/>
      <c r="F91" s="113"/>
      <c r="G91" s="113"/>
      <c r="H91" s="113"/>
      <c r="I91" s="113"/>
      <c r="J91" s="113"/>
      <c r="K91" s="113"/>
      <c r="L91" s="113"/>
      <c r="M91" s="113"/>
    </row>
    <row r="92" spans="4:13" ht="11.25">
      <c r="D92" s="114">
        <v>3.2</v>
      </c>
      <c r="E92" s="114">
        <v>3.2</v>
      </c>
      <c r="F92" s="114">
        <v>3.2</v>
      </c>
      <c r="G92" s="114">
        <v>3.2</v>
      </c>
      <c r="H92" s="114">
        <v>3.2</v>
      </c>
      <c r="I92" s="114">
        <v>3.2</v>
      </c>
      <c r="J92" s="114">
        <v>3.2</v>
      </c>
      <c r="K92" s="114">
        <v>3.2</v>
      </c>
      <c r="L92" s="114">
        <v>3.2</v>
      </c>
      <c r="M92" s="114">
        <v>3.2</v>
      </c>
    </row>
    <row r="93" spans="8:9" ht="11.25">
      <c r="H93" s="115">
        <v>32</v>
      </c>
      <c r="I93" s="131"/>
    </row>
    <row r="94" spans="10:27" ht="11.25">
      <c r="J94" s="5" t="s">
        <v>274</v>
      </c>
      <c r="AA94" s="5" t="s">
        <v>273</v>
      </c>
    </row>
    <row r="95" ht="12" thickBot="1"/>
    <row r="96" spans="3:29" ht="12" thickBot="1">
      <c r="C96" s="168"/>
      <c r="D96" s="169"/>
      <c r="E96" s="168" t="s">
        <v>275</v>
      </c>
      <c r="F96" s="169"/>
      <c r="G96" s="169"/>
      <c r="H96" s="169"/>
      <c r="I96" s="168" t="s">
        <v>278</v>
      </c>
      <c r="J96" s="169"/>
      <c r="K96" s="169"/>
      <c r="L96" s="169"/>
      <c r="M96" s="170"/>
      <c r="N96" s="168" t="s">
        <v>241</v>
      </c>
      <c r="O96" s="169"/>
      <c r="P96" s="169"/>
      <c r="Q96" s="169"/>
      <c r="R96" s="169"/>
      <c r="S96" s="169"/>
      <c r="T96" s="169"/>
      <c r="U96" s="169"/>
      <c r="V96" s="169"/>
      <c r="W96" s="169"/>
      <c r="X96" s="169"/>
      <c r="Y96" s="169"/>
      <c r="Z96" s="169"/>
      <c r="AA96" s="169"/>
      <c r="AB96" s="169"/>
      <c r="AC96" s="170"/>
    </row>
    <row r="97" spans="3:29" ht="11.25">
      <c r="C97" s="165" t="s">
        <v>276</v>
      </c>
      <c r="D97" s="162"/>
      <c r="E97" s="165" t="s">
        <v>277</v>
      </c>
      <c r="F97" s="162"/>
      <c r="G97" s="162"/>
      <c r="H97" s="162"/>
      <c r="I97" s="165" t="s">
        <v>279</v>
      </c>
      <c r="J97" s="162"/>
      <c r="K97" s="162"/>
      <c r="L97" s="162"/>
      <c r="M97" s="163"/>
      <c r="N97" s="165"/>
      <c r="O97" s="162"/>
      <c r="P97" s="162"/>
      <c r="Q97" s="162"/>
      <c r="R97" s="162"/>
      <c r="S97" s="162"/>
      <c r="T97" s="162"/>
      <c r="U97" s="162"/>
      <c r="V97" s="162"/>
      <c r="W97" s="162"/>
      <c r="X97" s="162"/>
      <c r="Y97" s="162"/>
      <c r="Z97" s="162"/>
      <c r="AA97" s="162"/>
      <c r="AB97" s="162"/>
      <c r="AC97" s="163"/>
    </row>
    <row r="98" spans="3:29" ht="11.25">
      <c r="C98" s="164" t="s">
        <v>280</v>
      </c>
      <c r="D98" s="118"/>
      <c r="E98" s="164" t="s">
        <v>281</v>
      </c>
      <c r="F98" s="118"/>
      <c r="G98" s="118"/>
      <c r="H98" s="118"/>
      <c r="I98" s="164" t="s">
        <v>282</v>
      </c>
      <c r="J98" s="118"/>
      <c r="K98" s="118"/>
      <c r="L98" s="118"/>
      <c r="M98" s="153"/>
      <c r="N98" s="164"/>
      <c r="O98" s="118"/>
      <c r="P98" s="118"/>
      <c r="Q98" s="118"/>
      <c r="R98" s="118"/>
      <c r="S98" s="118"/>
      <c r="T98" s="118"/>
      <c r="U98" s="118"/>
      <c r="V98" s="118"/>
      <c r="W98" s="118"/>
      <c r="X98" s="118"/>
      <c r="Y98" s="118"/>
      <c r="Z98" s="118"/>
      <c r="AA98" s="118"/>
      <c r="AB98" s="118"/>
      <c r="AC98" s="153"/>
    </row>
    <row r="99" spans="3:29" ht="11.25">
      <c r="C99" s="164" t="s">
        <v>283</v>
      </c>
      <c r="D99" s="118"/>
      <c r="E99" s="164" t="s">
        <v>286</v>
      </c>
      <c r="F99" s="118"/>
      <c r="G99" s="118"/>
      <c r="H99" s="118"/>
      <c r="I99" s="164" t="s">
        <v>287</v>
      </c>
      <c r="J99" s="118"/>
      <c r="K99" s="118"/>
      <c r="L99" s="118"/>
      <c r="M99" s="153"/>
      <c r="N99" s="164"/>
      <c r="O99" s="118"/>
      <c r="P99" s="118"/>
      <c r="Q99" s="118"/>
      <c r="R99" s="118"/>
      <c r="S99" s="118"/>
      <c r="T99" s="118"/>
      <c r="U99" s="118"/>
      <c r="V99" s="118"/>
      <c r="W99" s="118"/>
      <c r="X99" s="118"/>
      <c r="Y99" s="118"/>
      <c r="Z99" s="118"/>
      <c r="AA99" s="118"/>
      <c r="AB99" s="118"/>
      <c r="AC99" s="153"/>
    </row>
    <row r="100" spans="3:29" ht="11.25">
      <c r="C100" s="164" t="s">
        <v>284</v>
      </c>
      <c r="D100" s="118"/>
      <c r="E100" s="164" t="s">
        <v>288</v>
      </c>
      <c r="F100" s="118"/>
      <c r="G100" s="118"/>
      <c r="H100" s="118"/>
      <c r="I100" s="164" t="s">
        <v>289</v>
      </c>
      <c r="J100" s="118"/>
      <c r="K100" s="118"/>
      <c r="L100" s="118"/>
      <c r="M100" s="153"/>
      <c r="N100" s="164" t="s">
        <v>290</v>
      </c>
      <c r="O100" s="118"/>
      <c r="P100" s="118"/>
      <c r="Q100" s="118"/>
      <c r="R100" s="118"/>
      <c r="S100" s="118"/>
      <c r="T100" s="118"/>
      <c r="U100" s="118"/>
      <c r="V100" s="118"/>
      <c r="W100" s="118"/>
      <c r="X100" s="118"/>
      <c r="Y100" s="118"/>
      <c r="Z100" s="118"/>
      <c r="AA100" s="118"/>
      <c r="AB100" s="118"/>
      <c r="AC100" s="153"/>
    </row>
    <row r="101" spans="3:29" ht="12" thickBot="1">
      <c r="C101" s="166" t="s">
        <v>285</v>
      </c>
      <c r="D101" s="167"/>
      <c r="E101" s="166" t="s">
        <v>288</v>
      </c>
      <c r="F101" s="167"/>
      <c r="G101" s="167"/>
      <c r="H101" s="167"/>
      <c r="I101" s="166" t="s">
        <v>289</v>
      </c>
      <c r="J101" s="167"/>
      <c r="K101" s="167"/>
      <c r="L101" s="167"/>
      <c r="M101" s="171"/>
      <c r="N101" s="166" t="s">
        <v>291</v>
      </c>
      <c r="O101" s="167"/>
      <c r="P101" s="167"/>
      <c r="Q101" s="167"/>
      <c r="R101" s="167"/>
      <c r="S101" s="167"/>
      <c r="T101" s="167"/>
      <c r="U101" s="167"/>
      <c r="V101" s="167"/>
      <c r="W101" s="167"/>
      <c r="X101" s="167"/>
      <c r="Y101" s="167"/>
      <c r="Z101" s="167"/>
      <c r="AA101" s="167"/>
      <c r="AB101" s="167"/>
      <c r="AC101" s="171"/>
    </row>
    <row r="108" ht="14.25" customHeight="1"/>
  </sheetData>
  <sheetProtection/>
  <mergeCells count="17">
    <mergeCell ref="M33:N33"/>
    <mergeCell ref="M34:N34"/>
    <mergeCell ref="M35:N35"/>
    <mergeCell ref="R15:U15"/>
    <mergeCell ref="R16:U16"/>
    <mergeCell ref="R17:U17"/>
    <mergeCell ref="R18:U18"/>
    <mergeCell ref="AE1:AF2"/>
    <mergeCell ref="R84:R85"/>
    <mergeCell ref="F81:K83"/>
    <mergeCell ref="F84:K85"/>
    <mergeCell ref="S81:T81"/>
    <mergeCell ref="M36:N36"/>
    <mergeCell ref="M37:N37"/>
    <mergeCell ref="M38:N38"/>
    <mergeCell ref="M31:N31"/>
    <mergeCell ref="M32:N32"/>
  </mergeCells>
  <printOptions/>
  <pageMargins left="0.5905511811023623" right="0.3937007874015748" top="0.5905511811023623" bottom="0.3937007874015748" header="0.5118110236220472" footer="0.5118110236220472"/>
  <pageSetup horizontalDpi="600" verticalDpi="600" orientation="portrait" paperSize="9" r:id="rId1"/>
  <rowBreaks count="2" manualBreakCount="2">
    <brk id="42" max="255" man="1"/>
    <brk id="102" max="255" man="1"/>
  </rowBreaks>
</worksheet>
</file>

<file path=xl/worksheets/sheet8.xml><?xml version="1.0" encoding="utf-8"?>
<worksheet xmlns="http://schemas.openxmlformats.org/spreadsheetml/2006/main" xmlns:r="http://schemas.openxmlformats.org/officeDocument/2006/relationships">
  <dimension ref="A1:V33"/>
  <sheetViews>
    <sheetView zoomScalePageLayoutView="0" workbookViewId="0" topLeftCell="A1">
      <selection activeCell="H86" sqref="H86"/>
    </sheetView>
  </sheetViews>
  <sheetFormatPr defaultColWidth="9.00390625" defaultRowHeight="13.5"/>
  <cols>
    <col min="1" max="1" width="3.875" style="5" customWidth="1"/>
    <col min="2" max="2" width="3.00390625" style="5" bestFit="1" customWidth="1"/>
    <col min="3" max="3" width="3.375" style="5" customWidth="1"/>
    <col min="4" max="4" width="3.625" style="5" customWidth="1"/>
    <col min="5" max="5" width="6.375" style="5" customWidth="1"/>
    <col min="6" max="18" width="7.625" style="5" customWidth="1"/>
    <col min="19" max="21" width="7.625" style="220" customWidth="1"/>
    <col min="22" max="16384" width="9.00390625" style="5" customWidth="1"/>
  </cols>
  <sheetData>
    <row r="1" ht="11.25">
      <c r="A1" s="5" t="s">
        <v>319</v>
      </c>
    </row>
    <row r="2" ht="12" thickBot="1">
      <c r="R2" s="223" t="s">
        <v>320</v>
      </c>
    </row>
    <row r="3" spans="2:22" ht="12" thickBot="1">
      <c r="B3" s="168"/>
      <c r="C3" s="169"/>
      <c r="D3" s="169"/>
      <c r="E3" s="169"/>
      <c r="F3" s="184" t="s">
        <v>292</v>
      </c>
      <c r="G3" s="185" t="s">
        <v>293</v>
      </c>
      <c r="H3" s="186" t="s">
        <v>294</v>
      </c>
      <c r="I3" s="186" t="s">
        <v>295</v>
      </c>
      <c r="J3" s="186" t="s">
        <v>296</v>
      </c>
      <c r="K3" s="186" t="s">
        <v>297</v>
      </c>
      <c r="L3" s="186" t="s">
        <v>298</v>
      </c>
      <c r="M3" s="186" t="s">
        <v>299</v>
      </c>
      <c r="N3" s="186" t="s">
        <v>300</v>
      </c>
      <c r="O3" s="186" t="s">
        <v>301</v>
      </c>
      <c r="P3" s="186" t="s">
        <v>302</v>
      </c>
      <c r="Q3" s="186" t="s">
        <v>303</v>
      </c>
      <c r="R3" s="187" t="s">
        <v>304</v>
      </c>
      <c r="S3" s="188" t="s">
        <v>684</v>
      </c>
      <c r="T3" s="189" t="s">
        <v>305</v>
      </c>
      <c r="U3" s="190" t="s">
        <v>306</v>
      </c>
      <c r="V3" s="191" t="s">
        <v>307</v>
      </c>
    </row>
    <row r="4" spans="2:22" ht="11.25">
      <c r="B4" s="192" t="s">
        <v>308</v>
      </c>
      <c r="C4" s="149" t="s">
        <v>323</v>
      </c>
      <c r="D4" s="193" t="s">
        <v>325</v>
      </c>
      <c r="E4" s="194" t="s">
        <v>309</v>
      </c>
      <c r="F4" s="195">
        <v>69491</v>
      </c>
      <c r="G4" s="98"/>
      <c r="H4" s="99"/>
      <c r="I4" s="99">
        <v>18027</v>
      </c>
      <c r="J4" s="99">
        <v>43989</v>
      </c>
      <c r="K4" s="99">
        <v>221129</v>
      </c>
      <c r="L4" s="99">
        <v>261849</v>
      </c>
      <c r="M4" s="99">
        <v>419444</v>
      </c>
      <c r="N4" s="99">
        <v>485402</v>
      </c>
      <c r="O4" s="99">
        <v>300550</v>
      </c>
      <c r="P4" s="99">
        <v>162278</v>
      </c>
      <c r="Q4" s="99">
        <v>21674</v>
      </c>
      <c r="R4" s="196">
        <v>3180</v>
      </c>
      <c r="S4" s="197">
        <f>SUM(L4:O4)</f>
        <v>1467245</v>
      </c>
      <c r="T4" s="198">
        <f>S4/S4</f>
        <v>1</v>
      </c>
      <c r="U4" s="199">
        <f>S4/S4</f>
        <v>1</v>
      </c>
      <c r="V4" s="200">
        <f>S4/$S$4</f>
        <v>1</v>
      </c>
    </row>
    <row r="5" spans="2:22" ht="11.25">
      <c r="B5" s="201"/>
      <c r="C5" s="133"/>
      <c r="D5" s="112"/>
      <c r="E5" s="202" t="s">
        <v>310</v>
      </c>
      <c r="F5" s="203">
        <v>44360</v>
      </c>
      <c r="G5" s="84">
        <v>143997</v>
      </c>
      <c r="H5" s="50">
        <v>151880</v>
      </c>
      <c r="I5" s="50">
        <v>54135</v>
      </c>
      <c r="J5" s="50">
        <v>18016</v>
      </c>
      <c r="K5" s="50"/>
      <c r="L5" s="50"/>
      <c r="M5" s="50"/>
      <c r="N5" s="50"/>
      <c r="O5" s="50"/>
      <c r="P5" s="50"/>
      <c r="Q5" s="50">
        <v>36678</v>
      </c>
      <c r="R5" s="204">
        <v>82949</v>
      </c>
      <c r="S5" s="205">
        <f>SUM(G5:I5)+R5</f>
        <v>432961</v>
      </c>
      <c r="T5" s="206">
        <f>S5/S5</f>
        <v>1</v>
      </c>
      <c r="U5" s="207">
        <f>S5/S5</f>
        <v>1</v>
      </c>
      <c r="V5" s="208">
        <f>S5/$S$5</f>
        <v>1</v>
      </c>
    </row>
    <row r="6" spans="2:22" ht="11.25">
      <c r="B6" s="201"/>
      <c r="C6" s="133"/>
      <c r="D6" s="113" t="s">
        <v>326</v>
      </c>
      <c r="E6" s="202" t="s">
        <v>309</v>
      </c>
      <c r="F6" s="203">
        <v>68339</v>
      </c>
      <c r="G6" s="84"/>
      <c r="H6" s="50"/>
      <c r="I6" s="50">
        <v>19059</v>
      </c>
      <c r="J6" s="50">
        <v>47190</v>
      </c>
      <c r="K6" s="50">
        <v>222180</v>
      </c>
      <c r="L6" s="50">
        <v>261255</v>
      </c>
      <c r="M6" s="50">
        <v>413372</v>
      </c>
      <c r="N6" s="50">
        <v>478417</v>
      </c>
      <c r="O6" s="50">
        <v>299231</v>
      </c>
      <c r="P6" s="50">
        <v>163414</v>
      </c>
      <c r="Q6" s="50">
        <v>23357</v>
      </c>
      <c r="R6" s="204">
        <v>3841</v>
      </c>
      <c r="S6" s="205">
        <f>SUM(L6:O6)</f>
        <v>1452275</v>
      </c>
      <c r="T6" s="206">
        <f>S6/S6</f>
        <v>1</v>
      </c>
      <c r="U6" s="209">
        <f>S6/S4</f>
        <v>0.9897972049657692</v>
      </c>
      <c r="V6" s="208">
        <f>S6/$S$6</f>
        <v>1</v>
      </c>
    </row>
    <row r="7" spans="2:22" ht="11.25">
      <c r="B7" s="201"/>
      <c r="C7" s="112"/>
      <c r="D7" s="112"/>
      <c r="E7" s="202" t="s">
        <v>310</v>
      </c>
      <c r="F7" s="203">
        <v>43886</v>
      </c>
      <c r="G7" s="84">
        <v>137798</v>
      </c>
      <c r="H7" s="50">
        <v>145043</v>
      </c>
      <c r="I7" s="50">
        <v>50761</v>
      </c>
      <c r="J7" s="50">
        <v>14977</v>
      </c>
      <c r="K7" s="50"/>
      <c r="L7" s="50"/>
      <c r="M7" s="50"/>
      <c r="N7" s="50"/>
      <c r="O7" s="50"/>
      <c r="P7" s="50"/>
      <c r="Q7" s="50">
        <v>34662</v>
      </c>
      <c r="R7" s="204">
        <v>79064</v>
      </c>
      <c r="S7" s="205">
        <f>SUM(G7:I7)+R7</f>
        <v>412666</v>
      </c>
      <c r="T7" s="206">
        <f>S7/S7</f>
        <v>1</v>
      </c>
      <c r="U7" s="209">
        <f>S7/S5</f>
        <v>0.9531251082661025</v>
      </c>
      <c r="V7" s="208">
        <f>S7/$S$7</f>
        <v>1</v>
      </c>
    </row>
    <row r="8" spans="2:22" ht="11.25">
      <c r="B8" s="201"/>
      <c r="C8" s="113" t="s">
        <v>324</v>
      </c>
      <c r="D8" s="113" t="s">
        <v>325</v>
      </c>
      <c r="E8" s="202" t="s">
        <v>309</v>
      </c>
      <c r="F8" s="203">
        <v>62919</v>
      </c>
      <c r="G8" s="84">
        <v>10873</v>
      </c>
      <c r="H8" s="50">
        <v>5660</v>
      </c>
      <c r="I8" s="50">
        <v>52987</v>
      </c>
      <c r="J8" s="50">
        <v>43989</v>
      </c>
      <c r="K8" s="50">
        <v>221129</v>
      </c>
      <c r="L8" s="50">
        <v>179895</v>
      </c>
      <c r="M8" s="50">
        <v>337282</v>
      </c>
      <c r="N8" s="50">
        <v>403174</v>
      </c>
      <c r="O8" s="50">
        <v>219056</v>
      </c>
      <c r="P8" s="50">
        <v>162278</v>
      </c>
      <c r="Q8" s="50">
        <v>21674</v>
      </c>
      <c r="R8" s="204">
        <v>26270</v>
      </c>
      <c r="S8" s="205">
        <f>SUM(L8:O8)</f>
        <v>1139407</v>
      </c>
      <c r="T8" s="210">
        <f>S8/S4</f>
        <v>0.7765621964975175</v>
      </c>
      <c r="U8" s="207">
        <f>S8/S8</f>
        <v>1</v>
      </c>
      <c r="V8" s="208">
        <f>S8/$S$8</f>
        <v>1</v>
      </c>
    </row>
    <row r="9" spans="2:22" ht="11.25">
      <c r="B9" s="201"/>
      <c r="C9" s="133"/>
      <c r="D9" s="112"/>
      <c r="E9" s="202" t="s">
        <v>310</v>
      </c>
      <c r="F9" s="203">
        <v>38685</v>
      </c>
      <c r="G9" s="84">
        <v>88362</v>
      </c>
      <c r="H9" s="50">
        <v>90951</v>
      </c>
      <c r="I9" s="50">
        <v>22307</v>
      </c>
      <c r="J9" s="50">
        <v>18016</v>
      </c>
      <c r="K9" s="50"/>
      <c r="L9" s="50"/>
      <c r="M9" s="50"/>
      <c r="N9" s="50"/>
      <c r="O9" s="50"/>
      <c r="P9" s="50"/>
      <c r="Q9" s="50">
        <v>36678</v>
      </c>
      <c r="R9" s="204">
        <v>39330</v>
      </c>
      <c r="S9" s="205">
        <f>SUM(G9:I9)+R9</f>
        <v>240950</v>
      </c>
      <c r="T9" s="210">
        <f>S9/S5</f>
        <v>0.5565166377572114</v>
      </c>
      <c r="U9" s="207">
        <f>S9/S9</f>
        <v>1</v>
      </c>
      <c r="V9" s="208">
        <f>S9/$S$9</f>
        <v>1</v>
      </c>
    </row>
    <row r="10" spans="2:22" ht="11.25">
      <c r="B10" s="201"/>
      <c r="C10" s="133"/>
      <c r="D10" s="113" t="s">
        <v>326</v>
      </c>
      <c r="E10" s="202" t="s">
        <v>309</v>
      </c>
      <c r="F10" s="203">
        <v>62006</v>
      </c>
      <c r="G10" s="84">
        <v>11600</v>
      </c>
      <c r="H10" s="50">
        <v>7032</v>
      </c>
      <c r="I10" s="50">
        <v>54477</v>
      </c>
      <c r="J10" s="50">
        <v>47190</v>
      </c>
      <c r="K10" s="50">
        <v>222180</v>
      </c>
      <c r="L10" s="50">
        <v>181474</v>
      </c>
      <c r="M10" s="50">
        <v>333592</v>
      </c>
      <c r="N10" s="50">
        <v>398639</v>
      </c>
      <c r="O10" s="50">
        <v>219454</v>
      </c>
      <c r="P10" s="50">
        <v>163414</v>
      </c>
      <c r="Q10" s="50">
        <v>23357</v>
      </c>
      <c r="R10" s="204">
        <v>27789</v>
      </c>
      <c r="S10" s="205">
        <f>SUM(L10:O10)</f>
        <v>1133159</v>
      </c>
      <c r="T10" s="210">
        <f>S10/S6</f>
        <v>0.7802647570191596</v>
      </c>
      <c r="U10" s="209">
        <f>S10/S8</f>
        <v>0.9945164458354214</v>
      </c>
      <c r="V10" s="208">
        <f>S10/$S$10</f>
        <v>1</v>
      </c>
    </row>
    <row r="11" spans="2:22" ht="12" thickBot="1">
      <c r="B11" s="211"/>
      <c r="C11" s="157"/>
      <c r="D11" s="212"/>
      <c r="E11" s="213" t="s">
        <v>310</v>
      </c>
      <c r="F11" s="214">
        <v>38285</v>
      </c>
      <c r="G11" s="95">
        <v>83997</v>
      </c>
      <c r="H11" s="107">
        <v>86660</v>
      </c>
      <c r="I11" s="107">
        <v>20349</v>
      </c>
      <c r="J11" s="107">
        <v>14977</v>
      </c>
      <c r="K11" s="107"/>
      <c r="L11" s="107"/>
      <c r="M11" s="107"/>
      <c r="N11" s="107"/>
      <c r="O11" s="107"/>
      <c r="P11" s="107"/>
      <c r="Q11" s="107">
        <v>34662</v>
      </c>
      <c r="R11" s="215">
        <v>37315</v>
      </c>
      <c r="S11" s="216">
        <f>SUM(G11:I11)+R11</f>
        <v>228321</v>
      </c>
      <c r="T11" s="217">
        <f>S11/S7</f>
        <v>0.5532828001337643</v>
      </c>
      <c r="U11" s="218">
        <f>S11/S9</f>
        <v>0.9475866362315833</v>
      </c>
      <c r="V11" s="219">
        <f>S11/$S$11</f>
        <v>1</v>
      </c>
    </row>
    <row r="12" spans="2:22" ht="11.25">
      <c r="B12" s="192" t="s">
        <v>311</v>
      </c>
      <c r="C12" s="149" t="s">
        <v>323</v>
      </c>
      <c r="D12" s="193" t="s">
        <v>325</v>
      </c>
      <c r="E12" s="194" t="s">
        <v>309</v>
      </c>
      <c r="F12" s="195">
        <v>61966</v>
      </c>
      <c r="G12" s="98"/>
      <c r="H12" s="99"/>
      <c r="I12" s="99">
        <v>5322</v>
      </c>
      <c r="J12" s="99">
        <v>31434</v>
      </c>
      <c r="K12" s="99">
        <v>197033</v>
      </c>
      <c r="L12" s="99">
        <v>242850</v>
      </c>
      <c r="M12" s="99">
        <v>399055</v>
      </c>
      <c r="N12" s="99">
        <v>451126</v>
      </c>
      <c r="O12" s="99">
        <v>277612</v>
      </c>
      <c r="P12" s="99">
        <v>135087</v>
      </c>
      <c r="Q12" s="99">
        <v>9281</v>
      </c>
      <c r="R12" s="196"/>
      <c r="S12" s="197">
        <f>SUM(L12:O12)</f>
        <v>1370643</v>
      </c>
      <c r="T12" s="198">
        <f>S12/S12</f>
        <v>1</v>
      </c>
      <c r="U12" s="199">
        <f>S12/S12</f>
        <v>1</v>
      </c>
      <c r="V12" s="200">
        <f>S12/$S$4</f>
        <v>0.9341609615299422</v>
      </c>
    </row>
    <row r="13" spans="2:22" ht="11.25">
      <c r="B13" s="201"/>
      <c r="C13" s="133"/>
      <c r="D13" s="112"/>
      <c r="E13" s="202" t="s">
        <v>310</v>
      </c>
      <c r="F13" s="203">
        <v>44360</v>
      </c>
      <c r="G13" s="84">
        <v>180014</v>
      </c>
      <c r="H13" s="50">
        <v>189211</v>
      </c>
      <c r="I13" s="50">
        <v>78535</v>
      </c>
      <c r="J13" s="50">
        <v>27751</v>
      </c>
      <c r="K13" s="50"/>
      <c r="L13" s="50"/>
      <c r="M13" s="50"/>
      <c r="N13" s="50"/>
      <c r="O13" s="50"/>
      <c r="P13" s="50"/>
      <c r="Q13" s="50">
        <v>49067</v>
      </c>
      <c r="R13" s="204">
        <v>108275</v>
      </c>
      <c r="S13" s="205">
        <f>SUM(G13:I13)+R13</f>
        <v>556035</v>
      </c>
      <c r="T13" s="206">
        <f>S13/S13</f>
        <v>1</v>
      </c>
      <c r="U13" s="207">
        <f>S13/S13</f>
        <v>1</v>
      </c>
      <c r="V13" s="208">
        <f>S13/$S$5</f>
        <v>1.2842611690198424</v>
      </c>
    </row>
    <row r="14" spans="2:22" ht="11.25">
      <c r="B14" s="201"/>
      <c r="C14" s="133"/>
      <c r="D14" s="113" t="s">
        <v>326</v>
      </c>
      <c r="E14" s="202" t="s">
        <v>309</v>
      </c>
      <c r="F14" s="203">
        <v>61042</v>
      </c>
      <c r="G14" s="84"/>
      <c r="H14" s="50"/>
      <c r="I14" s="50">
        <v>5935</v>
      </c>
      <c r="J14" s="50">
        <v>31438</v>
      </c>
      <c r="K14" s="50">
        <v>198029</v>
      </c>
      <c r="L14" s="50">
        <v>242216</v>
      </c>
      <c r="M14" s="50">
        <v>393104</v>
      </c>
      <c r="N14" s="50">
        <v>444184</v>
      </c>
      <c r="O14" s="50">
        <v>276261</v>
      </c>
      <c r="P14" s="50">
        <v>136181</v>
      </c>
      <c r="Q14" s="50">
        <v>10204</v>
      </c>
      <c r="R14" s="204"/>
      <c r="S14" s="205">
        <f>SUM(L14:O14)</f>
        <v>1355765</v>
      </c>
      <c r="T14" s="206">
        <f>S14/S14</f>
        <v>1</v>
      </c>
      <c r="U14" s="209">
        <f>S14/S12</f>
        <v>0.9891452405914596</v>
      </c>
      <c r="V14" s="208">
        <f>S14/$S$6</f>
        <v>0.9335456439035307</v>
      </c>
    </row>
    <row r="15" spans="2:22" ht="11.25">
      <c r="B15" s="201"/>
      <c r="C15" s="112"/>
      <c r="D15" s="112"/>
      <c r="E15" s="202" t="s">
        <v>310</v>
      </c>
      <c r="F15" s="203">
        <v>43886</v>
      </c>
      <c r="G15" s="84">
        <v>174420</v>
      </c>
      <c r="H15" s="50">
        <v>182710</v>
      </c>
      <c r="I15" s="50">
        <v>74886</v>
      </c>
      <c r="J15" s="50">
        <v>24427</v>
      </c>
      <c r="K15" s="50"/>
      <c r="L15" s="50"/>
      <c r="M15" s="50"/>
      <c r="N15" s="50"/>
      <c r="O15" s="50"/>
      <c r="P15" s="50"/>
      <c r="Q15" s="50">
        <v>46329</v>
      </c>
      <c r="R15" s="204">
        <v>103778</v>
      </c>
      <c r="S15" s="205">
        <f>SUM(G15:I15)+R15</f>
        <v>535794</v>
      </c>
      <c r="T15" s="206">
        <f>S15/S15</f>
        <v>1</v>
      </c>
      <c r="U15" s="209">
        <f>S15/S13</f>
        <v>0.9635976152580323</v>
      </c>
      <c r="V15" s="208">
        <f>S15/$S$7</f>
        <v>1.298372049066315</v>
      </c>
    </row>
    <row r="16" spans="2:22" ht="11.25">
      <c r="B16" s="201"/>
      <c r="C16" s="113" t="s">
        <v>324</v>
      </c>
      <c r="D16" s="113" t="s">
        <v>325</v>
      </c>
      <c r="E16" s="202" t="s">
        <v>309</v>
      </c>
      <c r="F16" s="203">
        <v>55714</v>
      </c>
      <c r="G16" s="84">
        <v>2116</v>
      </c>
      <c r="H16" s="50"/>
      <c r="I16" s="50">
        <v>29978</v>
      </c>
      <c r="J16" s="50">
        <v>28613</v>
      </c>
      <c r="K16" s="50">
        <v>197033</v>
      </c>
      <c r="L16" s="50">
        <v>161995</v>
      </c>
      <c r="M16" s="50">
        <v>317885</v>
      </c>
      <c r="N16" s="50">
        <v>370166</v>
      </c>
      <c r="O16" s="50">
        <v>197114</v>
      </c>
      <c r="P16" s="50">
        <v>135087</v>
      </c>
      <c r="Q16" s="50">
        <v>9281</v>
      </c>
      <c r="R16" s="204">
        <v>9681</v>
      </c>
      <c r="S16" s="205">
        <f>SUM(L16:O16)</f>
        <v>1047160</v>
      </c>
      <c r="T16" s="210">
        <f>S16/S12</f>
        <v>0.7639917907142852</v>
      </c>
      <c r="U16" s="207">
        <f>S16/S16</f>
        <v>1</v>
      </c>
      <c r="V16" s="208">
        <f>S16/$S$8</f>
        <v>0.919039465265704</v>
      </c>
    </row>
    <row r="17" spans="2:22" ht="11.25">
      <c r="B17" s="201"/>
      <c r="C17" s="133"/>
      <c r="D17" s="112"/>
      <c r="E17" s="202" t="s">
        <v>310</v>
      </c>
      <c r="F17" s="203">
        <v>38685</v>
      </c>
      <c r="G17" s="84">
        <v>116760</v>
      </c>
      <c r="H17" s="50">
        <v>123831</v>
      </c>
      <c r="I17" s="50">
        <v>37671</v>
      </c>
      <c r="J17" s="50">
        <v>27751</v>
      </c>
      <c r="K17" s="50"/>
      <c r="L17" s="50"/>
      <c r="M17" s="50"/>
      <c r="N17" s="50"/>
      <c r="O17" s="50"/>
      <c r="P17" s="50"/>
      <c r="Q17" s="50">
        <v>49067</v>
      </c>
      <c r="R17" s="204">
        <v>52456</v>
      </c>
      <c r="S17" s="205">
        <f>SUM(G17:I17)+R17</f>
        <v>330718</v>
      </c>
      <c r="T17" s="210">
        <f>S17/S13</f>
        <v>0.5947791056318398</v>
      </c>
      <c r="U17" s="207">
        <f>S17/S17</f>
        <v>1</v>
      </c>
      <c r="V17" s="208">
        <f>S17/$S$9</f>
        <v>1.372558622120772</v>
      </c>
    </row>
    <row r="18" spans="2:22" ht="11.25">
      <c r="B18" s="201"/>
      <c r="C18" s="133"/>
      <c r="D18" s="113" t="s">
        <v>326</v>
      </c>
      <c r="E18" s="202" t="s">
        <v>309</v>
      </c>
      <c r="F18" s="203">
        <v>54983</v>
      </c>
      <c r="G18" s="84">
        <v>2529</v>
      </c>
      <c r="H18" s="50"/>
      <c r="I18" s="50">
        <v>31020</v>
      </c>
      <c r="J18" s="50">
        <v>31434</v>
      </c>
      <c r="K18" s="50">
        <v>198029</v>
      </c>
      <c r="L18" s="50">
        <v>163534</v>
      </c>
      <c r="M18" s="50">
        <v>314226</v>
      </c>
      <c r="N18" s="50">
        <v>365584</v>
      </c>
      <c r="O18" s="50">
        <v>197473</v>
      </c>
      <c r="P18" s="50">
        <v>136181</v>
      </c>
      <c r="Q18" s="50">
        <v>10204</v>
      </c>
      <c r="R18" s="204">
        <v>10838</v>
      </c>
      <c r="S18" s="205">
        <f>SUM(L18:O18)</f>
        <v>1040817</v>
      </c>
      <c r="T18" s="210">
        <f>S18/S14</f>
        <v>0.7676972041614881</v>
      </c>
      <c r="U18" s="209">
        <f>S18/S16</f>
        <v>0.993942663967302</v>
      </c>
      <c r="V18" s="208">
        <f>S18/$S$10</f>
        <v>0.9185092295079508</v>
      </c>
    </row>
    <row r="19" spans="2:22" ht="12" thickBot="1">
      <c r="B19" s="211"/>
      <c r="C19" s="157"/>
      <c r="D19" s="212"/>
      <c r="E19" s="213" t="s">
        <v>310</v>
      </c>
      <c r="F19" s="214">
        <v>38285</v>
      </c>
      <c r="G19" s="95">
        <v>112237</v>
      </c>
      <c r="H19" s="107">
        <v>118271</v>
      </c>
      <c r="I19" s="107">
        <v>35374</v>
      </c>
      <c r="J19" s="107">
        <v>24427</v>
      </c>
      <c r="K19" s="107"/>
      <c r="L19" s="107"/>
      <c r="M19" s="107"/>
      <c r="N19" s="107"/>
      <c r="O19" s="107"/>
      <c r="P19" s="107"/>
      <c r="Q19" s="107">
        <v>46329</v>
      </c>
      <c r="R19" s="215">
        <v>50145</v>
      </c>
      <c r="S19" s="216">
        <f>SUM(G19:I19)+R19</f>
        <v>316027</v>
      </c>
      <c r="T19" s="217">
        <f>S19/S15</f>
        <v>0.5898293000668168</v>
      </c>
      <c r="U19" s="218">
        <f>S19/S17</f>
        <v>0.9555784686651467</v>
      </c>
      <c r="V19" s="219">
        <f>S19/$S$11</f>
        <v>1.3841346174902878</v>
      </c>
    </row>
    <row r="20" spans="2:22" ht="11.25">
      <c r="B20" s="192" t="s">
        <v>312</v>
      </c>
      <c r="C20" s="149" t="s">
        <v>323</v>
      </c>
      <c r="D20" s="193" t="s">
        <v>325</v>
      </c>
      <c r="E20" s="194" t="s">
        <v>309</v>
      </c>
      <c r="F20" s="195">
        <v>61834</v>
      </c>
      <c r="G20" s="98"/>
      <c r="H20" s="99"/>
      <c r="I20" s="99">
        <v>4255</v>
      </c>
      <c r="J20" s="99">
        <v>23918</v>
      </c>
      <c r="K20" s="99">
        <v>182914</v>
      </c>
      <c r="L20" s="99">
        <v>227564</v>
      </c>
      <c r="M20" s="99">
        <v>379317</v>
      </c>
      <c r="N20" s="99">
        <v>434431</v>
      </c>
      <c r="O20" s="99">
        <v>264373</v>
      </c>
      <c r="P20" s="99">
        <v>126439</v>
      </c>
      <c r="Q20" s="99">
        <v>8611</v>
      </c>
      <c r="R20" s="196"/>
      <c r="S20" s="197">
        <f>SUM(L20:O20)</f>
        <v>1305685</v>
      </c>
      <c r="T20" s="198">
        <f>S20/S20</f>
        <v>1</v>
      </c>
      <c r="U20" s="199">
        <f>S20/S20</f>
        <v>1</v>
      </c>
      <c r="V20" s="200">
        <f>S20/$S$4</f>
        <v>0.8898888733647073</v>
      </c>
    </row>
    <row r="21" spans="2:22" ht="11.25">
      <c r="B21" s="201"/>
      <c r="C21" s="133"/>
      <c r="D21" s="112"/>
      <c r="E21" s="202" t="s">
        <v>310</v>
      </c>
      <c r="F21" s="203">
        <v>43136</v>
      </c>
      <c r="G21" s="84">
        <v>181049</v>
      </c>
      <c r="H21" s="50">
        <v>188624</v>
      </c>
      <c r="I21" s="50">
        <v>81461</v>
      </c>
      <c r="J21" s="50">
        <v>30215</v>
      </c>
      <c r="K21" s="50"/>
      <c r="L21" s="50"/>
      <c r="M21" s="50"/>
      <c r="N21" s="50"/>
      <c r="O21" s="50"/>
      <c r="P21" s="50"/>
      <c r="Q21" s="50">
        <v>52269</v>
      </c>
      <c r="R21" s="204">
        <v>110091</v>
      </c>
      <c r="S21" s="205">
        <f>SUM(G21:I21)+R21</f>
        <v>561225</v>
      </c>
      <c r="T21" s="206">
        <f>S21/S21</f>
        <v>1</v>
      </c>
      <c r="U21" s="207">
        <f>S21/S21</f>
        <v>1</v>
      </c>
      <c r="V21" s="208">
        <f>S21/$S$5</f>
        <v>1.296248391887491</v>
      </c>
    </row>
    <row r="22" spans="2:22" ht="11.25">
      <c r="B22" s="201"/>
      <c r="C22" s="133"/>
      <c r="D22" s="113" t="s">
        <v>326</v>
      </c>
      <c r="E22" s="202" t="s">
        <v>309</v>
      </c>
      <c r="F22" s="203">
        <v>60910</v>
      </c>
      <c r="G22" s="84"/>
      <c r="H22" s="50"/>
      <c r="I22" s="50">
        <v>4837</v>
      </c>
      <c r="J22" s="50">
        <v>28104</v>
      </c>
      <c r="K22" s="50">
        <v>183872</v>
      </c>
      <c r="L22" s="50">
        <v>226888</v>
      </c>
      <c r="M22" s="50">
        <v>373299</v>
      </c>
      <c r="N22" s="50">
        <v>427439</v>
      </c>
      <c r="O22" s="50">
        <v>262997</v>
      </c>
      <c r="P22" s="50">
        <v>127514</v>
      </c>
      <c r="Q22" s="50">
        <v>8795</v>
      </c>
      <c r="R22" s="204"/>
      <c r="S22" s="205">
        <f>SUM(L22:O22)</f>
        <v>1290623</v>
      </c>
      <c r="T22" s="206">
        <f>S22/S22</f>
        <v>1</v>
      </c>
      <c r="U22" s="209">
        <f>S22/S20</f>
        <v>0.988464292689278</v>
      </c>
      <c r="V22" s="208">
        <f>S22/$S$6</f>
        <v>0.888690502831764</v>
      </c>
    </row>
    <row r="23" spans="2:22" ht="11.25">
      <c r="B23" s="201"/>
      <c r="C23" s="112"/>
      <c r="D23" s="112"/>
      <c r="E23" s="202" t="s">
        <v>310</v>
      </c>
      <c r="F23" s="203">
        <v>42696</v>
      </c>
      <c r="G23" s="84">
        <v>175663</v>
      </c>
      <c r="H23" s="50">
        <v>182263</v>
      </c>
      <c r="I23" s="50">
        <v>77822</v>
      </c>
      <c r="J23" s="50">
        <v>28297</v>
      </c>
      <c r="K23" s="50"/>
      <c r="L23" s="50"/>
      <c r="M23" s="50"/>
      <c r="N23" s="50"/>
      <c r="O23" s="50"/>
      <c r="P23" s="50"/>
      <c r="Q23" s="50">
        <v>48809</v>
      </c>
      <c r="R23" s="204">
        <v>105624</v>
      </c>
      <c r="S23" s="205">
        <f>SUM(G23:I23)+R23</f>
        <v>541372</v>
      </c>
      <c r="T23" s="206">
        <f>S23/S23</f>
        <v>1</v>
      </c>
      <c r="U23" s="209">
        <f>S23/S21</f>
        <v>0.9646255957949129</v>
      </c>
      <c r="V23" s="208">
        <f>S23/$S$7</f>
        <v>1.3118890337464195</v>
      </c>
    </row>
    <row r="24" spans="2:22" ht="11.25">
      <c r="B24" s="201"/>
      <c r="C24" s="113" t="s">
        <v>324</v>
      </c>
      <c r="D24" s="113" t="s">
        <v>325</v>
      </c>
      <c r="E24" s="202" t="s">
        <v>309</v>
      </c>
      <c r="F24" s="203">
        <v>55584</v>
      </c>
      <c r="G24" s="84">
        <v>1680</v>
      </c>
      <c r="H24" s="50"/>
      <c r="I24" s="50">
        <v>27941</v>
      </c>
      <c r="J24" s="50">
        <v>25297</v>
      </c>
      <c r="K24" s="50">
        <v>182914</v>
      </c>
      <c r="L24" s="50">
        <v>148389</v>
      </c>
      <c r="M24" s="50">
        <v>300014</v>
      </c>
      <c r="N24" s="50">
        <v>355058</v>
      </c>
      <c r="O24" s="50">
        <v>185426</v>
      </c>
      <c r="P24" s="50">
        <v>126439</v>
      </c>
      <c r="Q24" s="50">
        <v>8608</v>
      </c>
      <c r="R24" s="204">
        <v>9467</v>
      </c>
      <c r="S24" s="205">
        <f>SUM(L24:O24)</f>
        <v>988887</v>
      </c>
      <c r="T24" s="210">
        <f>S24/S20</f>
        <v>0.757370269245645</v>
      </c>
      <c r="U24" s="207">
        <f>S24/S24</f>
        <v>1</v>
      </c>
      <c r="V24" s="208">
        <f>S24/$S$8</f>
        <v>0.8678961951260612</v>
      </c>
    </row>
    <row r="25" spans="2:22" ht="11.25">
      <c r="B25" s="201"/>
      <c r="C25" s="133"/>
      <c r="D25" s="112"/>
      <c r="E25" s="202" t="s">
        <v>310</v>
      </c>
      <c r="F25" s="203">
        <v>37630</v>
      </c>
      <c r="G25" s="84">
        <v>118475</v>
      </c>
      <c r="H25" s="50">
        <v>124539</v>
      </c>
      <c r="I25" s="50">
        <v>41141</v>
      </c>
      <c r="J25" s="50">
        <v>31594</v>
      </c>
      <c r="K25" s="50"/>
      <c r="L25" s="50"/>
      <c r="M25" s="50"/>
      <c r="N25" s="50"/>
      <c r="O25" s="50"/>
      <c r="P25" s="50"/>
      <c r="Q25" s="50">
        <v>52182</v>
      </c>
      <c r="R25" s="204">
        <v>55398</v>
      </c>
      <c r="S25" s="205">
        <f>SUM(G25:I25)+R25</f>
        <v>339553</v>
      </c>
      <c r="T25" s="210">
        <f>S25/S21</f>
        <v>0.6050211590716735</v>
      </c>
      <c r="U25" s="207">
        <f>S25/S25</f>
        <v>1</v>
      </c>
      <c r="V25" s="208">
        <f>S25/$S$9</f>
        <v>1.4092259804938785</v>
      </c>
    </row>
    <row r="26" spans="2:22" ht="11.25">
      <c r="B26" s="201"/>
      <c r="C26" s="133"/>
      <c r="D26" s="113" t="s">
        <v>326</v>
      </c>
      <c r="E26" s="202" t="s">
        <v>309</v>
      </c>
      <c r="F26" s="203">
        <v>54853</v>
      </c>
      <c r="G26" s="84">
        <v>2095</v>
      </c>
      <c r="H26" s="50"/>
      <c r="I26" s="50">
        <v>28981</v>
      </c>
      <c r="J26" s="50">
        <v>28104</v>
      </c>
      <c r="K26" s="50">
        <v>183872</v>
      </c>
      <c r="L26" s="50">
        <v>149874</v>
      </c>
      <c r="M26" s="50">
        <v>296291</v>
      </c>
      <c r="N26" s="50">
        <v>350430</v>
      </c>
      <c r="O26" s="50">
        <v>185758</v>
      </c>
      <c r="P26" s="50">
        <v>127514</v>
      </c>
      <c r="Q26" s="50">
        <v>9654</v>
      </c>
      <c r="R26" s="204">
        <v>10679</v>
      </c>
      <c r="S26" s="205">
        <f>SUM(L26:O26)</f>
        <v>982353</v>
      </c>
      <c r="T26" s="210">
        <f>S26/S22</f>
        <v>0.7611463610984772</v>
      </c>
      <c r="U26" s="209">
        <f>S26/S24</f>
        <v>0.9933925716487324</v>
      </c>
      <c r="V26" s="208">
        <f>S26/$S$10</f>
        <v>0.866915410811722</v>
      </c>
    </row>
    <row r="27" spans="2:22" ht="12" thickBot="1">
      <c r="B27" s="211"/>
      <c r="C27" s="157"/>
      <c r="D27" s="212"/>
      <c r="E27" s="213" t="s">
        <v>310</v>
      </c>
      <c r="F27" s="214">
        <v>37235</v>
      </c>
      <c r="G27" s="95">
        <v>113981</v>
      </c>
      <c r="H27" s="107">
        <v>118999</v>
      </c>
      <c r="I27" s="107">
        <v>38874</v>
      </c>
      <c r="J27" s="107">
        <v>28297</v>
      </c>
      <c r="K27" s="107"/>
      <c r="L27" s="107"/>
      <c r="M27" s="107"/>
      <c r="N27" s="107"/>
      <c r="O27" s="107"/>
      <c r="P27" s="107"/>
      <c r="Q27" s="107">
        <v>49591</v>
      </c>
      <c r="R27" s="215">
        <v>53163</v>
      </c>
      <c r="S27" s="216">
        <f>SUM(G27:I27)+R27</f>
        <v>325017</v>
      </c>
      <c r="T27" s="217">
        <f>S27/S23</f>
        <v>0.6003579793561543</v>
      </c>
      <c r="U27" s="218">
        <f>S27/S25</f>
        <v>0.9571907772866092</v>
      </c>
      <c r="V27" s="219">
        <f>S27/$S$11</f>
        <v>1.4235090070558556</v>
      </c>
    </row>
    <row r="29" spans="3:17" ht="11.25">
      <c r="C29" s="222" t="s">
        <v>313</v>
      </c>
      <c r="D29" s="117" t="s">
        <v>316</v>
      </c>
      <c r="E29" s="118"/>
      <c r="F29" s="118"/>
      <c r="G29" s="118"/>
      <c r="H29" s="119"/>
      <c r="J29" s="126" t="s">
        <v>327</v>
      </c>
      <c r="K29" s="126" t="s">
        <v>277</v>
      </c>
      <c r="L29" s="221"/>
      <c r="M29" s="111"/>
      <c r="O29" s="222" t="s">
        <v>325</v>
      </c>
      <c r="P29" s="117" t="s">
        <v>329</v>
      </c>
      <c r="Q29" s="119"/>
    </row>
    <row r="30" spans="3:17" ht="11.25">
      <c r="C30" s="222" t="s">
        <v>314</v>
      </c>
      <c r="D30" s="117" t="s">
        <v>317</v>
      </c>
      <c r="E30" s="118"/>
      <c r="F30" s="118"/>
      <c r="G30" s="118"/>
      <c r="H30" s="119"/>
      <c r="J30" s="123"/>
      <c r="K30" s="123" t="s">
        <v>281</v>
      </c>
      <c r="L30" s="109"/>
      <c r="M30" s="110"/>
      <c r="O30" s="222" t="s">
        <v>326</v>
      </c>
      <c r="P30" s="117" t="s">
        <v>330</v>
      </c>
      <c r="Q30" s="119"/>
    </row>
    <row r="31" spans="3:13" ht="11.25">
      <c r="C31" s="222" t="s">
        <v>315</v>
      </c>
      <c r="D31" s="117" t="s">
        <v>318</v>
      </c>
      <c r="E31" s="118"/>
      <c r="F31" s="118"/>
      <c r="G31" s="118"/>
      <c r="H31" s="119"/>
      <c r="J31" s="126" t="s">
        <v>328</v>
      </c>
      <c r="K31" s="126" t="s">
        <v>279</v>
      </c>
      <c r="L31" s="221"/>
      <c r="M31" s="111"/>
    </row>
    <row r="32" spans="10:13" ht="11.25">
      <c r="J32" s="123"/>
      <c r="K32" s="123" t="s">
        <v>282</v>
      </c>
      <c r="L32" s="109"/>
      <c r="M32" s="110"/>
    </row>
    <row r="33" spans="10:13" ht="11.25">
      <c r="J33" s="121"/>
      <c r="K33" s="121"/>
      <c r="L33" s="121"/>
      <c r="M33" s="121"/>
    </row>
  </sheetData>
  <sheetProtection/>
  <printOptions/>
  <pageMargins left="0.787" right="0.787" top="0.984" bottom="0.984" header="0.512" footer="0.512"/>
  <pageSetup horizontalDpi="600" verticalDpi="600" orientation="landscape" paperSize="9" r:id="rId1"/>
  <rowBreaks count="2" manualBreakCount="2">
    <brk id="33" max="18" man="1"/>
    <brk id="61" max="18" man="1"/>
  </rowBreaks>
</worksheet>
</file>

<file path=xl/worksheets/sheet9.xml><?xml version="1.0" encoding="utf-8"?>
<worksheet xmlns="http://schemas.openxmlformats.org/spreadsheetml/2006/main" xmlns:r="http://schemas.openxmlformats.org/officeDocument/2006/relationships">
  <dimension ref="B1:AF293"/>
  <sheetViews>
    <sheetView view="pageBreakPreview" zoomScaleSheetLayoutView="100" zoomScalePageLayoutView="0" workbookViewId="0" topLeftCell="A221">
      <selection activeCell="H86" sqref="H86"/>
    </sheetView>
  </sheetViews>
  <sheetFormatPr defaultColWidth="9.00390625" defaultRowHeight="13.5"/>
  <cols>
    <col min="1" max="1" width="4.00390625" style="5" customWidth="1"/>
    <col min="2" max="2" width="3.75390625" style="5" customWidth="1"/>
    <col min="3" max="4" width="3.875" style="5" customWidth="1"/>
    <col min="5" max="8" width="8.00390625" style="5" customWidth="1"/>
    <col min="9" max="12" width="9.00390625" style="5" customWidth="1"/>
    <col min="13" max="13" width="6.125" style="5" customWidth="1"/>
    <col min="14" max="16384" width="9.00390625" style="5" customWidth="1"/>
  </cols>
  <sheetData>
    <row r="1" spans="10:21" ht="11.25">
      <c r="J1" s="121"/>
      <c r="K1" s="121"/>
      <c r="L1" s="121"/>
      <c r="M1" s="121"/>
      <c r="S1" s="220"/>
      <c r="T1" s="220"/>
      <c r="U1" s="220"/>
    </row>
    <row r="2" spans="2:21" ht="11.25">
      <c r="B2" s="5" t="str">
        <f>'質問'!B48</f>
        <v>Ｑ６．冷房の設定温度は、28℃にしていますか？</v>
      </c>
      <c r="J2" s="121"/>
      <c r="K2" s="121"/>
      <c r="L2" s="121"/>
      <c r="M2" s="121"/>
      <c r="S2" s="220"/>
      <c r="T2" s="220"/>
      <c r="U2" s="220"/>
    </row>
    <row r="3" spans="2:21" ht="11.25">
      <c r="B3" s="5" t="s">
        <v>339</v>
      </c>
      <c r="J3" s="121"/>
      <c r="K3" s="121"/>
      <c r="L3" s="121"/>
      <c r="M3" s="121"/>
      <c r="S3" s="220"/>
      <c r="T3" s="220"/>
      <c r="U3" s="220"/>
    </row>
    <row r="4" spans="2:21" ht="11.25">
      <c r="B4" s="5" t="s">
        <v>337</v>
      </c>
      <c r="S4" s="220"/>
      <c r="T4" s="220"/>
      <c r="U4" s="220"/>
    </row>
    <row r="5" spans="3:21" ht="11.25">
      <c r="C5" s="5" t="s">
        <v>403</v>
      </c>
      <c r="S5" s="220"/>
      <c r="T5" s="220"/>
      <c r="U5" s="220"/>
    </row>
    <row r="6" spans="2:21" ht="11.25">
      <c r="B6" s="5" t="s">
        <v>338</v>
      </c>
      <c r="S6" s="220"/>
      <c r="T6" s="220"/>
      <c r="U6" s="220"/>
    </row>
    <row r="7" spans="3:21" ht="11.25">
      <c r="C7" s="5" t="s">
        <v>331</v>
      </c>
      <c r="S7" s="220"/>
      <c r="T7" s="220"/>
      <c r="U7" s="220"/>
    </row>
    <row r="8" spans="3:21" ht="11.25">
      <c r="C8" s="5" t="s">
        <v>334</v>
      </c>
      <c r="S8" s="220"/>
      <c r="T8" s="220"/>
      <c r="U8" s="220"/>
    </row>
    <row r="9" spans="19:21" ht="12" thickBot="1">
      <c r="S9" s="220"/>
      <c r="T9" s="220"/>
      <c r="U9" s="220"/>
    </row>
    <row r="10" spans="3:21" ht="14.25" thickBot="1">
      <c r="C10" s="147"/>
      <c r="D10" s="150"/>
      <c r="E10" s="168" t="s">
        <v>322</v>
      </c>
      <c r="F10" s="170"/>
      <c r="G10" s="168" t="s">
        <v>378</v>
      </c>
      <c r="H10" s="170"/>
      <c r="I10" s="184" t="s">
        <v>756</v>
      </c>
      <c r="J10" s="184" t="s">
        <v>333</v>
      </c>
      <c r="K10" s="184" t="s">
        <v>332</v>
      </c>
      <c r="S10" s="220"/>
      <c r="T10" s="220"/>
      <c r="U10" s="220"/>
    </row>
    <row r="11" spans="3:21" ht="11.25">
      <c r="C11" s="192" t="s">
        <v>379</v>
      </c>
      <c r="D11" s="194" t="s">
        <v>380</v>
      </c>
      <c r="E11" s="162"/>
      <c r="F11" s="224">
        <f>'回答算出データシート2'!S4-'回答算出データシート2'!S8</f>
        <v>327838</v>
      </c>
      <c r="G11" s="165"/>
      <c r="H11" s="226">
        <f>'回答算出データシート2'!S4</f>
        <v>1467245</v>
      </c>
      <c r="I11" s="227">
        <f aca="true" t="shared" si="0" ref="I11:I16">F11/H11</f>
        <v>0.22343780350248255</v>
      </c>
      <c r="J11" s="227">
        <v>0.5</v>
      </c>
      <c r="K11" s="227">
        <f aca="true" t="shared" si="1" ref="K11:K16">J11*I11</f>
        <v>0.11171890175124127</v>
      </c>
      <c r="S11" s="220"/>
      <c r="T11" s="220"/>
      <c r="U11" s="220"/>
    </row>
    <row r="12" spans="3:21" ht="12" thickBot="1">
      <c r="C12" s="211"/>
      <c r="D12" s="213" t="s">
        <v>381</v>
      </c>
      <c r="E12" s="167"/>
      <c r="F12" s="225">
        <f>'回答算出データシート2'!S6-'回答算出データシート2'!S10</f>
        <v>319116</v>
      </c>
      <c r="G12" s="166"/>
      <c r="H12" s="225">
        <f>'回答算出データシート2'!S6</f>
        <v>1452275</v>
      </c>
      <c r="I12" s="228">
        <f t="shared" si="0"/>
        <v>0.2197352429808404</v>
      </c>
      <c r="J12" s="228">
        <v>0.5</v>
      </c>
      <c r="K12" s="228">
        <f t="shared" si="1"/>
        <v>0.1098676214904202</v>
      </c>
      <c r="S12" s="220"/>
      <c r="T12" s="220"/>
      <c r="U12" s="220"/>
    </row>
    <row r="13" spans="3:21" ht="11.25">
      <c r="C13" s="192" t="s">
        <v>382</v>
      </c>
      <c r="D13" s="194" t="s">
        <v>380</v>
      </c>
      <c r="E13" s="162"/>
      <c r="F13" s="224">
        <f>'回答算出データシート2'!S12-'回答算出データシート2'!S16</f>
        <v>323483</v>
      </c>
      <c r="G13" s="165"/>
      <c r="H13" s="224">
        <f>'回答算出データシート2'!S12</f>
        <v>1370643</v>
      </c>
      <c r="I13" s="227">
        <f t="shared" si="0"/>
        <v>0.2360082092857148</v>
      </c>
      <c r="J13" s="227">
        <v>0.5</v>
      </c>
      <c r="K13" s="227">
        <f t="shared" si="1"/>
        <v>0.1180041046428574</v>
      </c>
      <c r="S13" s="220"/>
      <c r="T13" s="220"/>
      <c r="U13" s="220"/>
    </row>
    <row r="14" spans="3:21" ht="12" thickBot="1">
      <c r="C14" s="211"/>
      <c r="D14" s="213" t="s">
        <v>381</v>
      </c>
      <c r="E14" s="167"/>
      <c r="F14" s="225">
        <f>'回答算出データシート2'!S14-'回答算出データシート2'!S18</f>
        <v>314948</v>
      </c>
      <c r="G14" s="166"/>
      <c r="H14" s="225">
        <f>'回答算出データシート2'!S14</f>
        <v>1355765</v>
      </c>
      <c r="I14" s="228">
        <f t="shared" si="0"/>
        <v>0.23230279583851185</v>
      </c>
      <c r="J14" s="228">
        <v>0.5</v>
      </c>
      <c r="K14" s="228">
        <f t="shared" si="1"/>
        <v>0.11615139791925592</v>
      </c>
      <c r="S14" s="220"/>
      <c r="T14" s="220"/>
      <c r="U14" s="220"/>
    </row>
    <row r="15" spans="3:21" ht="11.25">
      <c r="C15" s="192" t="s">
        <v>383</v>
      </c>
      <c r="D15" s="194" t="s">
        <v>380</v>
      </c>
      <c r="E15" s="162"/>
      <c r="F15" s="224">
        <f>'回答算出データシート2'!S20-'回答算出データシート2'!S24</f>
        <v>316798</v>
      </c>
      <c r="G15" s="165"/>
      <c r="H15" s="224">
        <f>'回答算出データシート2'!S20</f>
        <v>1305685</v>
      </c>
      <c r="I15" s="227">
        <f t="shared" si="0"/>
        <v>0.24262973075435498</v>
      </c>
      <c r="J15" s="227">
        <v>0.5</v>
      </c>
      <c r="K15" s="227">
        <f t="shared" si="1"/>
        <v>0.12131486537717749</v>
      </c>
      <c r="S15" s="220"/>
      <c r="T15" s="220"/>
      <c r="U15" s="220"/>
    </row>
    <row r="16" spans="3:21" ht="12" thickBot="1">
      <c r="C16" s="211"/>
      <c r="D16" s="213" t="s">
        <v>381</v>
      </c>
      <c r="E16" s="167"/>
      <c r="F16" s="225">
        <f>'回答算出データシート2'!S22-'回答算出データシート2'!S26</f>
        <v>308270</v>
      </c>
      <c r="G16" s="166"/>
      <c r="H16" s="225">
        <f>'回答算出データシート2'!S22</f>
        <v>1290623</v>
      </c>
      <c r="I16" s="228">
        <f t="shared" si="0"/>
        <v>0.23885363890152275</v>
      </c>
      <c r="J16" s="228">
        <v>0.5</v>
      </c>
      <c r="K16" s="228">
        <f t="shared" si="1"/>
        <v>0.11942681945076138</v>
      </c>
      <c r="S16" s="220"/>
      <c r="T16" s="220"/>
      <c r="U16" s="220"/>
    </row>
    <row r="17" spans="19:21" ht="11.25">
      <c r="S17" s="220"/>
      <c r="T17" s="220"/>
      <c r="U17" s="220"/>
    </row>
    <row r="18" spans="2:21" ht="11.25">
      <c r="B18" s="5" t="s">
        <v>340</v>
      </c>
      <c r="S18" s="220"/>
      <c r="T18" s="220"/>
      <c r="U18" s="220"/>
    </row>
    <row r="19" spans="3:21" ht="11.25">
      <c r="C19" s="5" t="s">
        <v>347</v>
      </c>
      <c r="S19" s="220"/>
      <c r="T19" s="220"/>
      <c r="U19" s="220"/>
    </row>
    <row r="20" spans="3:21" ht="11.25">
      <c r="C20" s="5" t="s">
        <v>341</v>
      </c>
      <c r="S20" s="220"/>
      <c r="T20" s="220"/>
      <c r="U20" s="220"/>
    </row>
    <row r="21" spans="3:21" ht="11.25">
      <c r="C21" s="5" t="s">
        <v>349</v>
      </c>
      <c r="S21" s="220"/>
      <c r="T21" s="220"/>
      <c r="U21" s="220"/>
    </row>
    <row r="22" spans="4:21" ht="11.25">
      <c r="D22" s="5">
        <v>2.4</v>
      </c>
      <c r="E22" s="5" t="s">
        <v>384</v>
      </c>
      <c r="F22" s="5">
        <v>15</v>
      </c>
      <c r="G22" s="5" t="s">
        <v>385</v>
      </c>
      <c r="H22" s="230">
        <v>0.4</v>
      </c>
      <c r="I22" s="5" t="s">
        <v>386</v>
      </c>
      <c r="J22" s="229">
        <f>D22/F22*H22</f>
        <v>0.064</v>
      </c>
      <c r="S22" s="220"/>
      <c r="T22" s="220"/>
      <c r="U22" s="220"/>
    </row>
    <row r="23" spans="8:21" ht="11.25">
      <c r="H23" s="230"/>
      <c r="J23" s="229"/>
      <c r="S23" s="220"/>
      <c r="T23" s="220"/>
      <c r="U23" s="220"/>
    </row>
    <row r="24" spans="2:21" ht="13.5">
      <c r="B24" s="5" t="s">
        <v>352</v>
      </c>
      <c r="H24" s="230"/>
      <c r="J24" s="229"/>
      <c r="S24" s="220"/>
      <c r="T24" s="220"/>
      <c r="U24" s="220"/>
    </row>
    <row r="25" spans="3:21" ht="11.25">
      <c r="C25" s="5" t="s">
        <v>359</v>
      </c>
      <c r="F25" s="5" t="s">
        <v>387</v>
      </c>
      <c r="G25" s="5">
        <v>0.08</v>
      </c>
      <c r="H25" s="230" t="s">
        <v>388</v>
      </c>
      <c r="J25" s="229"/>
      <c r="S25" s="220"/>
      <c r="T25" s="220"/>
      <c r="U25" s="220"/>
    </row>
    <row r="26" spans="8:21" ht="11.25">
      <c r="H26" s="230"/>
      <c r="J26" s="229"/>
      <c r="S26" s="220"/>
      <c r="T26" s="220"/>
      <c r="U26" s="220"/>
    </row>
    <row r="27" spans="6:21" ht="11.25">
      <c r="F27" s="223" t="s">
        <v>389</v>
      </c>
      <c r="G27" s="233" t="s">
        <v>390</v>
      </c>
      <c r="S27" s="220"/>
      <c r="T27" s="220"/>
      <c r="U27" s="220"/>
    </row>
    <row r="28" spans="7:21" ht="11.25">
      <c r="G28" s="233"/>
      <c r="S28" s="220"/>
      <c r="T28" s="220"/>
      <c r="U28" s="220"/>
    </row>
    <row r="29" spans="2:21" ht="11.25">
      <c r="B29" s="5" t="str">
        <f>'質問'!B53</f>
        <v>Ｑ７．暖房の設定温度は、20℃にしていますか？</v>
      </c>
      <c r="J29" s="121"/>
      <c r="K29" s="121"/>
      <c r="L29" s="121"/>
      <c r="S29" s="220"/>
      <c r="T29" s="220"/>
      <c r="U29" s="220"/>
    </row>
    <row r="30" spans="2:21" ht="11.25">
      <c r="B30" s="5" t="s">
        <v>339</v>
      </c>
      <c r="J30" s="121"/>
      <c r="K30" s="121"/>
      <c r="L30" s="121"/>
      <c r="M30" s="121"/>
      <c r="S30" s="220"/>
      <c r="T30" s="220"/>
      <c r="U30" s="220"/>
    </row>
    <row r="31" spans="2:21" ht="11.25">
      <c r="B31" s="5" t="s">
        <v>337</v>
      </c>
      <c r="S31" s="220"/>
      <c r="T31" s="220"/>
      <c r="U31" s="220"/>
    </row>
    <row r="32" spans="3:21" ht="11.25">
      <c r="C32" s="5" t="s">
        <v>404</v>
      </c>
      <c r="S32" s="220"/>
      <c r="T32" s="220"/>
      <c r="U32" s="220"/>
    </row>
    <row r="33" spans="2:21" ht="11.25">
      <c r="B33" s="5" t="s">
        <v>338</v>
      </c>
      <c r="S33" s="220"/>
      <c r="T33" s="220"/>
      <c r="U33" s="220"/>
    </row>
    <row r="34" spans="3:21" ht="11.25">
      <c r="C34" s="5" t="s">
        <v>335</v>
      </c>
      <c r="S34" s="220"/>
      <c r="T34" s="220"/>
      <c r="U34" s="220"/>
    </row>
    <row r="35" spans="3:21" ht="11.25">
      <c r="C35" s="5" t="s">
        <v>334</v>
      </c>
      <c r="S35" s="220"/>
      <c r="T35" s="220"/>
      <c r="U35" s="220"/>
    </row>
    <row r="36" spans="19:21" ht="12" thickBot="1">
      <c r="S36" s="220"/>
      <c r="T36" s="220"/>
      <c r="U36" s="220"/>
    </row>
    <row r="37" spans="3:21" ht="14.25" thickBot="1">
      <c r="C37" s="147"/>
      <c r="D37" s="150"/>
      <c r="E37" s="168" t="s">
        <v>322</v>
      </c>
      <c r="F37" s="170"/>
      <c r="G37" s="168" t="s">
        <v>336</v>
      </c>
      <c r="H37" s="170"/>
      <c r="I37" s="184" t="s">
        <v>756</v>
      </c>
      <c r="J37" s="184" t="s">
        <v>333</v>
      </c>
      <c r="K37" s="184" t="s">
        <v>332</v>
      </c>
      <c r="S37" s="220"/>
      <c r="T37" s="220"/>
      <c r="U37" s="220"/>
    </row>
    <row r="38" spans="3:21" ht="11.25">
      <c r="C38" s="192" t="s">
        <v>379</v>
      </c>
      <c r="D38" s="194" t="s">
        <v>380</v>
      </c>
      <c r="E38" s="162"/>
      <c r="F38" s="224">
        <f>'回答算出データシート2'!S5-'回答算出データシート2'!S9</f>
        <v>192011</v>
      </c>
      <c r="G38" s="165"/>
      <c r="H38" s="226">
        <f>'回答算出データシート2'!S5</f>
        <v>432961</v>
      </c>
      <c r="I38" s="227">
        <f aca="true" t="shared" si="2" ref="I38:I43">F38/H38</f>
        <v>0.4434833622427886</v>
      </c>
      <c r="J38" s="227">
        <v>0.5</v>
      </c>
      <c r="K38" s="227">
        <f aca="true" t="shared" si="3" ref="K38:K43">J38*I38</f>
        <v>0.2217416811213943</v>
      </c>
      <c r="S38" s="220"/>
      <c r="T38" s="220"/>
      <c r="U38" s="220"/>
    </row>
    <row r="39" spans="3:21" ht="12" thickBot="1">
      <c r="C39" s="211"/>
      <c r="D39" s="213" t="s">
        <v>381</v>
      </c>
      <c r="E39" s="167"/>
      <c r="F39" s="225">
        <f>'回答算出データシート2'!S7-'回答算出データシート2'!S11</f>
        <v>184345</v>
      </c>
      <c r="G39" s="166"/>
      <c r="H39" s="225">
        <f>'回答算出データシート2'!S7</f>
        <v>412666</v>
      </c>
      <c r="I39" s="228">
        <f t="shared" si="2"/>
        <v>0.44671719986623565</v>
      </c>
      <c r="J39" s="228">
        <v>0.5</v>
      </c>
      <c r="K39" s="228">
        <f t="shared" si="3"/>
        <v>0.22335859993311782</v>
      </c>
      <c r="S39" s="220"/>
      <c r="T39" s="220"/>
      <c r="U39" s="220"/>
    </row>
    <row r="40" spans="3:21" ht="11.25">
      <c r="C40" s="192" t="s">
        <v>382</v>
      </c>
      <c r="D40" s="194" t="s">
        <v>380</v>
      </c>
      <c r="E40" s="162"/>
      <c r="F40" s="224">
        <f>'回答算出データシート2'!S13-'回答算出データシート2'!S17</f>
        <v>225317</v>
      </c>
      <c r="G40" s="165"/>
      <c r="H40" s="224">
        <f>'回答算出データシート2'!S13</f>
        <v>556035</v>
      </c>
      <c r="I40" s="227">
        <f t="shared" si="2"/>
        <v>0.4052208943681603</v>
      </c>
      <c r="J40" s="227">
        <v>0.5</v>
      </c>
      <c r="K40" s="227">
        <f t="shared" si="3"/>
        <v>0.20261044718408014</v>
      </c>
      <c r="S40" s="220"/>
      <c r="T40" s="220"/>
      <c r="U40" s="220"/>
    </row>
    <row r="41" spans="3:21" ht="12" thickBot="1">
      <c r="C41" s="211"/>
      <c r="D41" s="213" t="s">
        <v>381</v>
      </c>
      <c r="E41" s="167"/>
      <c r="F41" s="225">
        <f>'回答算出データシート2'!S15-'回答算出データシート2'!S19</f>
        <v>219767</v>
      </c>
      <c r="G41" s="166"/>
      <c r="H41" s="225">
        <f>'回答算出データシート2'!S15</f>
        <v>535794</v>
      </c>
      <c r="I41" s="228">
        <f t="shared" si="2"/>
        <v>0.4101706999331833</v>
      </c>
      <c r="J41" s="228">
        <v>0.5</v>
      </c>
      <c r="K41" s="228">
        <f t="shared" si="3"/>
        <v>0.20508534996659164</v>
      </c>
      <c r="S41" s="220"/>
      <c r="T41" s="220"/>
      <c r="U41" s="220"/>
    </row>
    <row r="42" spans="3:21" ht="11.25">
      <c r="C42" s="192" t="s">
        <v>383</v>
      </c>
      <c r="D42" s="194" t="s">
        <v>380</v>
      </c>
      <c r="E42" s="162"/>
      <c r="F42" s="224">
        <f>'回答算出データシート2'!S21-'回答算出データシート2'!S25</f>
        <v>221672</v>
      </c>
      <c r="G42" s="165"/>
      <c r="H42" s="224">
        <f>'回答算出データシート2'!S21</f>
        <v>561225</v>
      </c>
      <c r="I42" s="227">
        <f t="shared" si="2"/>
        <v>0.3949788409283264</v>
      </c>
      <c r="J42" s="227">
        <v>0.5</v>
      </c>
      <c r="K42" s="227">
        <f t="shared" si="3"/>
        <v>0.1974894204641632</v>
      </c>
      <c r="S42" s="220"/>
      <c r="T42" s="220"/>
      <c r="U42" s="220"/>
    </row>
    <row r="43" spans="3:21" ht="12" thickBot="1">
      <c r="C43" s="211"/>
      <c r="D43" s="213" t="s">
        <v>381</v>
      </c>
      <c r="E43" s="167"/>
      <c r="F43" s="225">
        <f>'回答算出データシート2'!S23-'回答算出データシート2'!S27</f>
        <v>216355</v>
      </c>
      <c r="G43" s="166"/>
      <c r="H43" s="225">
        <f>'回答算出データシート2'!S23</f>
        <v>541372</v>
      </c>
      <c r="I43" s="228">
        <f t="shared" si="2"/>
        <v>0.39964202064384563</v>
      </c>
      <c r="J43" s="228">
        <v>0.5</v>
      </c>
      <c r="K43" s="228">
        <f t="shared" si="3"/>
        <v>0.19982101032192282</v>
      </c>
      <c r="S43" s="220"/>
      <c r="T43" s="220"/>
      <c r="U43" s="220"/>
    </row>
    <row r="44" spans="19:21" ht="11.25">
      <c r="S44" s="220"/>
      <c r="T44" s="220"/>
      <c r="U44" s="220"/>
    </row>
    <row r="45" spans="2:21" ht="11.25">
      <c r="B45" s="5" t="s">
        <v>340</v>
      </c>
      <c r="S45" s="220"/>
      <c r="T45" s="220"/>
      <c r="U45" s="220"/>
    </row>
    <row r="46" spans="3:21" ht="11.25">
      <c r="C46" s="5" t="s">
        <v>351</v>
      </c>
      <c r="S46" s="220"/>
      <c r="T46" s="220"/>
      <c r="U46" s="220"/>
    </row>
    <row r="47" spans="3:21" ht="11.25">
      <c r="C47" s="5" t="s">
        <v>348</v>
      </c>
      <c r="S47" s="220"/>
      <c r="T47" s="220"/>
      <c r="U47" s="220"/>
    </row>
    <row r="48" spans="3:21" ht="11.25">
      <c r="C48" s="5" t="s">
        <v>350</v>
      </c>
      <c r="S48" s="220"/>
      <c r="T48" s="220"/>
      <c r="U48" s="220"/>
    </row>
    <row r="49" spans="4:21" ht="11.25">
      <c r="D49" s="5">
        <v>2.4</v>
      </c>
      <c r="E49" s="5" t="s">
        <v>391</v>
      </c>
      <c r="F49" s="5">
        <v>19</v>
      </c>
      <c r="G49" s="5" t="s">
        <v>392</v>
      </c>
      <c r="H49" s="230">
        <v>0.7</v>
      </c>
      <c r="I49" s="5" t="s">
        <v>393</v>
      </c>
      <c r="J49" s="229">
        <f>D49/F49*H49</f>
        <v>0.08842105263157894</v>
      </c>
      <c r="S49" s="220"/>
      <c r="T49" s="220"/>
      <c r="U49" s="220"/>
    </row>
    <row r="50" spans="8:21" ht="11.25">
      <c r="H50" s="230"/>
      <c r="J50" s="229"/>
      <c r="S50" s="220"/>
      <c r="T50" s="220"/>
      <c r="U50" s="220"/>
    </row>
    <row r="51" spans="2:21" ht="13.5">
      <c r="B51" s="5" t="s">
        <v>352</v>
      </c>
      <c r="H51" s="230"/>
      <c r="J51" s="229"/>
      <c r="S51" s="220"/>
      <c r="T51" s="220"/>
      <c r="U51" s="220"/>
    </row>
    <row r="52" spans="3:21" ht="11.25">
      <c r="C52" s="5" t="s">
        <v>367</v>
      </c>
      <c r="F52" s="5" t="s">
        <v>394</v>
      </c>
      <c r="G52" s="5">
        <v>0.1</v>
      </c>
      <c r="H52" s="230" t="s">
        <v>395</v>
      </c>
      <c r="J52" s="229"/>
      <c r="S52" s="220"/>
      <c r="T52" s="220"/>
      <c r="U52" s="220"/>
    </row>
    <row r="53" spans="8:21" ht="11.25">
      <c r="H53" s="230"/>
      <c r="J53" s="229"/>
      <c r="S53" s="220"/>
      <c r="T53" s="220"/>
      <c r="U53" s="220"/>
    </row>
    <row r="54" spans="2:21" ht="11.25">
      <c r="B54" s="5" t="str">
        <f>'質問'!B58</f>
        <v>Ｑ８．使用していない部屋の空調は消していますか？</v>
      </c>
      <c r="S54" s="220"/>
      <c r="T54" s="220"/>
      <c r="U54" s="220"/>
    </row>
    <row r="55" spans="3:21" ht="11.25">
      <c r="C55" s="5" t="s">
        <v>368</v>
      </c>
      <c r="S55" s="220"/>
      <c r="T55" s="220"/>
      <c r="U55" s="220"/>
    </row>
    <row r="56" spans="19:21" ht="12" thickBot="1">
      <c r="S56" s="220"/>
      <c r="T56" s="220"/>
      <c r="U56" s="220"/>
    </row>
    <row r="57" spans="3:21" ht="12" thickBot="1">
      <c r="C57" s="168" t="s">
        <v>369</v>
      </c>
      <c r="D57" s="169"/>
      <c r="E57" s="170"/>
      <c r="F57" s="168" t="s">
        <v>370</v>
      </c>
      <c r="G57" s="169"/>
      <c r="H57" s="168" t="s">
        <v>371</v>
      </c>
      <c r="I57" s="170"/>
      <c r="S57" s="220"/>
      <c r="T57" s="220"/>
      <c r="U57" s="220"/>
    </row>
    <row r="58" spans="3:21" ht="12" thickBot="1">
      <c r="C58" s="660">
        <v>0.05</v>
      </c>
      <c r="D58" s="661"/>
      <c r="E58" s="662"/>
      <c r="F58" s="660">
        <v>0.5</v>
      </c>
      <c r="G58" s="662"/>
      <c r="H58" s="663">
        <f>C58*F58</f>
        <v>0.025</v>
      </c>
      <c r="I58" s="664"/>
      <c r="S58" s="220"/>
      <c r="T58" s="220"/>
      <c r="U58" s="220"/>
    </row>
    <row r="59" spans="3:21" ht="11.25">
      <c r="C59" s="231"/>
      <c r="D59" s="231"/>
      <c r="E59" s="231"/>
      <c r="F59" s="231"/>
      <c r="G59" s="231"/>
      <c r="H59" s="232"/>
      <c r="I59" s="232"/>
      <c r="S59" s="220"/>
      <c r="T59" s="220"/>
      <c r="U59" s="220"/>
    </row>
    <row r="60" spans="3:21" ht="11.25">
      <c r="C60" s="231"/>
      <c r="D60" s="231"/>
      <c r="E60" s="231"/>
      <c r="F60" s="231"/>
      <c r="G60" s="231"/>
      <c r="H60" s="232"/>
      <c r="I60" s="232"/>
      <c r="S60" s="220"/>
      <c r="T60" s="220"/>
      <c r="U60" s="220"/>
    </row>
    <row r="61" spans="2:21" ht="11.25">
      <c r="B61" s="5" t="str">
        <f>'質問'!B63</f>
        <v>Ｑ９．冷暖房時に窓・扉は閉めていますか？</v>
      </c>
      <c r="J61" s="121"/>
      <c r="K61" s="121"/>
      <c r="L61" s="121"/>
      <c r="S61" s="220"/>
      <c r="T61" s="220"/>
      <c r="U61" s="220"/>
    </row>
    <row r="62" spans="2:21" ht="11.25">
      <c r="B62" s="5" t="s">
        <v>339</v>
      </c>
      <c r="J62" s="121"/>
      <c r="K62" s="121"/>
      <c r="L62" s="121"/>
      <c r="S62" s="220"/>
      <c r="T62" s="220"/>
      <c r="U62" s="220"/>
    </row>
    <row r="63" spans="2:21" ht="11.25">
      <c r="B63" s="5" t="s">
        <v>337</v>
      </c>
      <c r="S63" s="220"/>
      <c r="T63" s="220"/>
      <c r="U63" s="220"/>
    </row>
    <row r="64" spans="3:21" ht="11.25">
      <c r="C64" s="5" t="s">
        <v>405</v>
      </c>
      <c r="S64" s="220"/>
      <c r="T64" s="220"/>
      <c r="U64" s="220"/>
    </row>
    <row r="65" spans="2:21" ht="11.25">
      <c r="B65" s="5" t="s">
        <v>338</v>
      </c>
      <c r="S65" s="220"/>
      <c r="T65" s="220"/>
      <c r="U65" s="220"/>
    </row>
    <row r="66" spans="3:21" ht="11.25">
      <c r="C66" s="5" t="s">
        <v>375</v>
      </c>
      <c r="S66" s="220"/>
      <c r="T66" s="220"/>
      <c r="U66" s="220"/>
    </row>
    <row r="67" spans="3:21" ht="11.25">
      <c r="C67" s="5" t="s">
        <v>334</v>
      </c>
      <c r="S67" s="220"/>
      <c r="T67" s="220"/>
      <c r="U67" s="220"/>
    </row>
    <row r="68" spans="3:21" ht="11.25">
      <c r="C68" s="5" t="s">
        <v>441</v>
      </c>
      <c r="S68" s="220"/>
      <c r="T68" s="220"/>
      <c r="U68" s="220"/>
    </row>
    <row r="69" spans="19:21" ht="12" thickBot="1">
      <c r="S69" s="220"/>
      <c r="T69" s="220"/>
      <c r="U69" s="220"/>
    </row>
    <row r="70" spans="3:11" ht="14.25" thickBot="1">
      <c r="C70" s="147"/>
      <c r="D70" s="150"/>
      <c r="E70" s="168" t="s">
        <v>322</v>
      </c>
      <c r="F70" s="170"/>
      <c r="G70" s="168" t="s">
        <v>374</v>
      </c>
      <c r="H70" s="170"/>
      <c r="I70" s="184" t="s">
        <v>756</v>
      </c>
      <c r="J70" s="184" t="s">
        <v>333</v>
      </c>
      <c r="K70" s="184" t="s">
        <v>332</v>
      </c>
    </row>
    <row r="71" spans="3:11" ht="11.25">
      <c r="C71" s="192" t="s">
        <v>379</v>
      </c>
      <c r="D71" s="194" t="s">
        <v>396</v>
      </c>
      <c r="E71" s="162"/>
      <c r="F71" s="224">
        <f>SUM('回答算出データシート2'!G5:H5,'回答算出データシート2'!R5)-SUM('回答算出データシート2'!G7:H7,'回答算出データシート2'!R7)</f>
        <v>16921</v>
      </c>
      <c r="G71" s="165"/>
      <c r="H71" s="226">
        <f>'回答算出データシート2'!S5</f>
        <v>432961</v>
      </c>
      <c r="I71" s="227">
        <f aca="true" t="shared" si="4" ref="I71:I76">F71/H71</f>
        <v>0.03908204203149937</v>
      </c>
      <c r="J71" s="227">
        <v>1</v>
      </c>
      <c r="K71" s="227">
        <f aca="true" t="shared" si="5" ref="K71:K76">J71*I71</f>
        <v>0.03908204203149937</v>
      </c>
    </row>
    <row r="72" spans="3:11" ht="12" thickBot="1">
      <c r="C72" s="211"/>
      <c r="D72" s="213" t="s">
        <v>397</v>
      </c>
      <c r="E72" s="167"/>
      <c r="F72" s="225">
        <f>SUM('回答算出データシート2'!G9:H9,'回答算出データシート2'!R9)-SUM('回答算出データシート2'!G11:H11,'回答算出データシート2'!R11)</f>
        <v>10671</v>
      </c>
      <c r="G72" s="166"/>
      <c r="H72" s="225">
        <f>'回答算出データシート2'!S9</f>
        <v>240950</v>
      </c>
      <c r="I72" s="228">
        <f t="shared" si="4"/>
        <v>0.044287196513799545</v>
      </c>
      <c r="J72" s="228">
        <v>1</v>
      </c>
      <c r="K72" s="228">
        <f t="shared" si="5"/>
        <v>0.044287196513799545</v>
      </c>
    </row>
    <row r="73" spans="3:11" ht="11.25">
      <c r="C73" s="192" t="s">
        <v>382</v>
      </c>
      <c r="D73" s="194" t="s">
        <v>396</v>
      </c>
      <c r="E73" s="162"/>
      <c r="F73" s="224">
        <f>SUM('回答算出データシート2'!G13:H13,'回答算出データシート2'!R13)-SUM('回答算出データシート2'!G15:H15,'回答算出データシート2'!R15)</f>
        <v>16592</v>
      </c>
      <c r="G73" s="165"/>
      <c r="H73" s="224">
        <f>'回答算出データシート2'!S13</f>
        <v>556035</v>
      </c>
      <c r="I73" s="227">
        <f t="shared" si="4"/>
        <v>0.029839848210993912</v>
      </c>
      <c r="J73" s="227">
        <v>1</v>
      </c>
      <c r="K73" s="227">
        <f t="shared" si="5"/>
        <v>0.029839848210993912</v>
      </c>
    </row>
    <row r="74" spans="3:11" ht="12" thickBot="1">
      <c r="C74" s="211"/>
      <c r="D74" s="213" t="s">
        <v>397</v>
      </c>
      <c r="E74" s="167"/>
      <c r="F74" s="225">
        <f>SUM('回答算出データシート2'!G17:H17,'回答算出データシート2'!R17)-SUM('回答算出データシート2'!G19:H19,'回答算出データシート2'!R19)</f>
        <v>12394</v>
      </c>
      <c r="G74" s="166"/>
      <c r="H74" s="225">
        <f>'回答算出データシート2'!S17</f>
        <v>330718</v>
      </c>
      <c r="I74" s="228">
        <f t="shared" si="4"/>
        <v>0.03747603698619367</v>
      </c>
      <c r="J74" s="228">
        <v>1</v>
      </c>
      <c r="K74" s="228">
        <f t="shared" si="5"/>
        <v>0.03747603698619367</v>
      </c>
    </row>
    <row r="75" spans="3:11" ht="11.25">
      <c r="C75" s="192" t="s">
        <v>383</v>
      </c>
      <c r="D75" s="194" t="s">
        <v>396</v>
      </c>
      <c r="E75" s="162"/>
      <c r="F75" s="224">
        <f>SUM('回答算出データシート2'!G21:H21,'回答算出データシート2'!R21)-SUM('回答算出データシート2'!G23:H23,'回答算出データシート2'!R23)</f>
        <v>16214</v>
      </c>
      <c r="G75" s="165"/>
      <c r="H75" s="224">
        <f>'回答算出データシート2'!S21</f>
        <v>561225</v>
      </c>
      <c r="I75" s="227">
        <f t="shared" si="4"/>
        <v>0.028890373736023878</v>
      </c>
      <c r="J75" s="227">
        <v>1</v>
      </c>
      <c r="K75" s="227">
        <f t="shared" si="5"/>
        <v>0.028890373736023878</v>
      </c>
    </row>
    <row r="76" spans="3:11" ht="12" thickBot="1">
      <c r="C76" s="211"/>
      <c r="D76" s="213" t="s">
        <v>397</v>
      </c>
      <c r="E76" s="167"/>
      <c r="F76" s="225">
        <f>SUM('回答算出データシート2'!G25:H25,'回答算出データシート2'!R25)-SUM('回答算出データシート2'!G27:H27,'回答算出データシート2'!R27)</f>
        <v>12269</v>
      </c>
      <c r="G76" s="166"/>
      <c r="H76" s="225">
        <f>'回答算出データシート2'!S25</f>
        <v>339553</v>
      </c>
      <c r="I76" s="228">
        <f t="shared" si="4"/>
        <v>0.03613279811988114</v>
      </c>
      <c r="J76" s="228">
        <v>1</v>
      </c>
      <c r="K76" s="228">
        <f t="shared" si="5"/>
        <v>0.03613279811988114</v>
      </c>
    </row>
    <row r="78" spans="2:10" ht="11.25">
      <c r="B78" s="5" t="s">
        <v>376</v>
      </c>
      <c r="H78" s="230"/>
      <c r="J78" s="229"/>
    </row>
    <row r="79" spans="4:9" ht="11.25">
      <c r="D79" s="5" t="s">
        <v>377</v>
      </c>
      <c r="G79" s="5" t="s">
        <v>398</v>
      </c>
      <c r="H79" s="5">
        <v>0.03</v>
      </c>
      <c r="I79" s="230" t="s">
        <v>399</v>
      </c>
    </row>
    <row r="80" spans="3:10" ht="11.25">
      <c r="C80" s="5" t="s">
        <v>402</v>
      </c>
      <c r="J80" s="229"/>
    </row>
    <row r="81" spans="3:10" ht="11.25">
      <c r="C81" s="5" t="s">
        <v>400</v>
      </c>
      <c r="H81" s="230"/>
      <c r="J81" s="229"/>
    </row>
    <row r="82" ht="11.25">
      <c r="C82" s="5" t="s">
        <v>401</v>
      </c>
    </row>
    <row r="85" spans="2:21" ht="11.25">
      <c r="B85" s="5" t="str">
        <f>'質問'!B69</f>
        <v>Ｑ１０．昼間の冷房時にブラインドを降ろしていますか？</v>
      </c>
      <c r="J85" s="121"/>
      <c r="K85" s="121"/>
      <c r="L85" s="121"/>
      <c r="S85" s="220"/>
      <c r="T85" s="220"/>
      <c r="U85" s="220"/>
    </row>
    <row r="86" spans="2:21" ht="11.25">
      <c r="B86" s="5" t="s">
        <v>339</v>
      </c>
      <c r="J86" s="121"/>
      <c r="K86" s="121"/>
      <c r="L86" s="121"/>
      <c r="S86" s="220"/>
      <c r="T86" s="220"/>
      <c r="U86" s="220"/>
    </row>
    <row r="87" spans="2:21" ht="11.25">
      <c r="B87" s="5" t="s">
        <v>337</v>
      </c>
      <c r="S87" s="220"/>
      <c r="T87" s="220"/>
      <c r="U87" s="220"/>
    </row>
    <row r="88" spans="3:21" ht="11.25">
      <c r="C88" s="5" t="s">
        <v>406</v>
      </c>
      <c r="S88" s="220"/>
      <c r="T88" s="220"/>
      <c r="U88" s="220"/>
    </row>
    <row r="89" spans="3:21" ht="11.25">
      <c r="C89" s="234"/>
      <c r="S89" s="220"/>
      <c r="T89" s="220"/>
      <c r="U89" s="220"/>
    </row>
    <row r="90" spans="2:21" ht="11.25">
      <c r="B90" s="5" t="s">
        <v>338</v>
      </c>
      <c r="S90" s="220"/>
      <c r="T90" s="220"/>
      <c r="U90" s="220"/>
    </row>
    <row r="91" spans="3:21" ht="11.25">
      <c r="C91" s="5" t="s">
        <v>407</v>
      </c>
      <c r="S91" s="220"/>
      <c r="T91" s="220"/>
      <c r="U91" s="220"/>
    </row>
    <row r="92" spans="3:21" ht="11.25">
      <c r="C92" s="5" t="s">
        <v>334</v>
      </c>
      <c r="S92" s="220"/>
      <c r="T92" s="220"/>
      <c r="U92" s="220"/>
    </row>
    <row r="93" spans="19:21" ht="12" thickBot="1">
      <c r="S93" s="220"/>
      <c r="T93" s="220"/>
      <c r="U93" s="220"/>
    </row>
    <row r="94" spans="3:11" ht="14.25" thickBot="1">
      <c r="C94" s="147"/>
      <c r="D94" s="150"/>
      <c r="E94" s="168" t="s">
        <v>322</v>
      </c>
      <c r="F94" s="170"/>
      <c r="G94" s="168" t="s">
        <v>378</v>
      </c>
      <c r="H94" s="170"/>
      <c r="I94" s="184" t="s">
        <v>756</v>
      </c>
      <c r="J94" s="184" t="s">
        <v>333</v>
      </c>
      <c r="K94" s="184" t="s">
        <v>332</v>
      </c>
    </row>
    <row r="95" spans="3:11" ht="11.25">
      <c r="C95" s="192" t="s">
        <v>372</v>
      </c>
      <c r="D95" s="194" t="s">
        <v>380</v>
      </c>
      <c r="E95" s="162"/>
      <c r="F95" s="224">
        <f>'回答算出データシート2'!S4-'回答算出データシート2'!S12</f>
        <v>96602</v>
      </c>
      <c r="G95" s="165"/>
      <c r="H95" s="226">
        <f>'回答算出データシート2'!S4</f>
        <v>1467245</v>
      </c>
      <c r="I95" s="227">
        <f>F95/H95</f>
        <v>0.06583903847005783</v>
      </c>
      <c r="J95" s="227">
        <v>0.5</v>
      </c>
      <c r="K95" s="227">
        <f>J95*I95</f>
        <v>0.032919519235028914</v>
      </c>
    </row>
    <row r="96" spans="3:11" ht="12" thickBot="1">
      <c r="C96" s="211"/>
      <c r="D96" s="213" t="s">
        <v>381</v>
      </c>
      <c r="E96" s="167"/>
      <c r="F96" s="225">
        <f>'回答算出データシート2'!S6-'回答算出データシート2'!S14</f>
        <v>96510</v>
      </c>
      <c r="G96" s="166"/>
      <c r="H96" s="225">
        <f>'回答算出データシート2'!S6</f>
        <v>1452275</v>
      </c>
      <c r="I96" s="228">
        <f>F96/H96</f>
        <v>0.06645435609646934</v>
      </c>
      <c r="J96" s="228">
        <v>0.5</v>
      </c>
      <c r="K96" s="228">
        <f>J96*I96</f>
        <v>0.03322717804823467</v>
      </c>
    </row>
    <row r="97" spans="3:11" ht="11.25">
      <c r="C97" s="192" t="s">
        <v>373</v>
      </c>
      <c r="D97" s="194" t="s">
        <v>380</v>
      </c>
      <c r="E97" s="162"/>
      <c r="F97" s="224">
        <f>'回答算出データシート2'!S8-'回答算出データシート2'!S16</f>
        <v>92247</v>
      </c>
      <c r="G97" s="165"/>
      <c r="H97" s="224">
        <f>'回答算出データシート2'!S8</f>
        <v>1139407</v>
      </c>
      <c r="I97" s="227">
        <f>F97/H97</f>
        <v>0.080960534734296</v>
      </c>
      <c r="J97" s="227">
        <v>0.5</v>
      </c>
      <c r="K97" s="227">
        <f>J97*I97</f>
        <v>0.040480267367148</v>
      </c>
    </row>
    <row r="98" spans="3:11" ht="12" thickBot="1">
      <c r="C98" s="211"/>
      <c r="D98" s="213" t="s">
        <v>381</v>
      </c>
      <c r="E98" s="167"/>
      <c r="F98" s="225">
        <f>'回答算出データシート2'!S10-'回答算出データシート2'!S18</f>
        <v>92342</v>
      </c>
      <c r="G98" s="166"/>
      <c r="H98" s="225">
        <f>'回答算出データシート2'!S10</f>
        <v>1133159</v>
      </c>
      <c r="I98" s="228">
        <f>F98/H98</f>
        <v>0.08149077049204922</v>
      </c>
      <c r="J98" s="228">
        <v>0.5</v>
      </c>
      <c r="K98" s="228">
        <f>J98*I98</f>
        <v>0.04074538524602461</v>
      </c>
    </row>
    <row r="100" spans="2:10" ht="11.25">
      <c r="B100" s="5" t="s">
        <v>376</v>
      </c>
      <c r="H100" s="230"/>
      <c r="J100" s="229"/>
    </row>
    <row r="101" spans="3:10" ht="11.25">
      <c r="C101" s="5" t="s">
        <v>377</v>
      </c>
      <c r="F101" s="5" t="s">
        <v>398</v>
      </c>
      <c r="G101" s="257">
        <v>0.04</v>
      </c>
      <c r="H101" s="230" t="s">
        <v>399</v>
      </c>
      <c r="J101" s="229"/>
    </row>
    <row r="102" spans="8:10" ht="11.25">
      <c r="H102" s="230"/>
      <c r="J102" s="229"/>
    </row>
    <row r="103" spans="2:21" ht="11.25">
      <c r="B103" s="5" t="str">
        <f>'質問'!B74</f>
        <v>Ｑ１１．退庁時にブラインドを降ろしていますか？</v>
      </c>
      <c r="J103" s="121"/>
      <c r="K103" s="121"/>
      <c r="L103" s="121"/>
      <c r="S103" s="220"/>
      <c r="T103" s="220"/>
      <c r="U103" s="220"/>
    </row>
    <row r="104" spans="2:21" ht="11.25">
      <c r="B104" s="5" t="s">
        <v>339</v>
      </c>
      <c r="J104" s="121"/>
      <c r="K104" s="121"/>
      <c r="L104" s="121"/>
      <c r="S104" s="220"/>
      <c r="T104" s="220"/>
      <c r="U104" s="220"/>
    </row>
    <row r="105" spans="2:21" ht="11.25">
      <c r="B105" s="5" t="s">
        <v>337</v>
      </c>
      <c r="S105" s="220"/>
      <c r="T105" s="220"/>
      <c r="U105" s="220"/>
    </row>
    <row r="106" spans="3:21" ht="11.25">
      <c r="C106" s="5" t="s">
        <v>409</v>
      </c>
      <c r="S106" s="220"/>
      <c r="T106" s="220"/>
      <c r="U106" s="220"/>
    </row>
    <row r="107" spans="3:21" ht="11.25">
      <c r="C107" s="234" t="s">
        <v>410</v>
      </c>
      <c r="S107" s="220"/>
      <c r="T107" s="220"/>
      <c r="U107" s="220"/>
    </row>
    <row r="108" spans="3:21" ht="11.25">
      <c r="C108" s="234"/>
      <c r="S108" s="220"/>
      <c r="T108" s="220"/>
      <c r="U108" s="220"/>
    </row>
    <row r="109" spans="2:21" ht="11.25">
      <c r="B109" s="5" t="s">
        <v>338</v>
      </c>
      <c r="S109" s="220"/>
      <c r="T109" s="220"/>
      <c r="U109" s="220"/>
    </row>
    <row r="110" spans="3:21" ht="11.25">
      <c r="C110" s="5" t="s">
        <v>407</v>
      </c>
      <c r="S110" s="220"/>
      <c r="T110" s="220"/>
      <c r="U110" s="220"/>
    </row>
    <row r="111" spans="3:21" ht="11.25">
      <c r="C111" s="5" t="s">
        <v>334</v>
      </c>
      <c r="S111" s="220"/>
      <c r="T111" s="220"/>
      <c r="U111" s="220"/>
    </row>
    <row r="112" spans="19:21" ht="12" thickBot="1">
      <c r="S112" s="220"/>
      <c r="T112" s="220"/>
      <c r="U112" s="220"/>
    </row>
    <row r="113" spans="3:11" ht="14.25" thickBot="1">
      <c r="C113" s="147"/>
      <c r="D113" s="150"/>
      <c r="E113" s="168" t="s">
        <v>322</v>
      </c>
      <c r="F113" s="170"/>
      <c r="G113" s="168" t="s">
        <v>378</v>
      </c>
      <c r="H113" s="170"/>
      <c r="I113" s="184" t="s">
        <v>756</v>
      </c>
      <c r="J113" s="184" t="s">
        <v>333</v>
      </c>
      <c r="K113" s="184" t="s">
        <v>332</v>
      </c>
    </row>
    <row r="114" spans="3:11" ht="11.25">
      <c r="C114" s="192" t="s">
        <v>372</v>
      </c>
      <c r="D114" s="194" t="s">
        <v>380</v>
      </c>
      <c r="E114" s="162"/>
      <c r="F114" s="224">
        <f>'回答算出データシート2'!S4-'回答算出データシート2'!S20-F95</f>
        <v>64958</v>
      </c>
      <c r="G114" s="165"/>
      <c r="H114" s="226">
        <f>'回答算出データシート2'!S4</f>
        <v>1467245</v>
      </c>
      <c r="I114" s="227">
        <f>F114/H114</f>
        <v>0.04427208816523485</v>
      </c>
      <c r="J114" s="227">
        <v>0.5</v>
      </c>
      <c r="K114" s="227">
        <f>J114*I114</f>
        <v>0.022136044082617424</v>
      </c>
    </row>
    <row r="115" spans="3:11" ht="12" thickBot="1">
      <c r="C115" s="211"/>
      <c r="D115" s="213" t="s">
        <v>381</v>
      </c>
      <c r="E115" s="167"/>
      <c r="F115" s="225">
        <f>'回答算出データシート2'!S6-'回答算出データシート2'!S22-F96</f>
        <v>65142</v>
      </c>
      <c r="G115" s="166"/>
      <c r="H115" s="225">
        <f>'回答算出データシート2'!S6</f>
        <v>1452275</v>
      </c>
      <c r="I115" s="228">
        <f>F115/H115</f>
        <v>0.04485514107176671</v>
      </c>
      <c r="J115" s="228">
        <v>0.5</v>
      </c>
      <c r="K115" s="228">
        <f>J115*I115</f>
        <v>0.022427570535883356</v>
      </c>
    </row>
    <row r="116" spans="3:11" ht="11.25">
      <c r="C116" s="192" t="s">
        <v>373</v>
      </c>
      <c r="D116" s="194" t="s">
        <v>380</v>
      </c>
      <c r="E116" s="162"/>
      <c r="F116" s="224">
        <f>'回答算出データシート2'!S8-'回答算出データシート2'!S24-F97</f>
        <v>58273</v>
      </c>
      <c r="G116" s="165"/>
      <c r="H116" s="224">
        <f>'回答算出データシート2'!S8</f>
        <v>1139407</v>
      </c>
      <c r="I116" s="227">
        <f>F116/H116</f>
        <v>0.051143270139642816</v>
      </c>
      <c r="J116" s="227">
        <v>0.5</v>
      </c>
      <c r="K116" s="227">
        <f>J116*I116</f>
        <v>0.025571635069821408</v>
      </c>
    </row>
    <row r="117" spans="3:11" ht="12" thickBot="1">
      <c r="C117" s="211"/>
      <c r="D117" s="213" t="s">
        <v>381</v>
      </c>
      <c r="E117" s="167"/>
      <c r="F117" s="225">
        <f>'回答算出データシート2'!S10-'回答算出データシート2'!S26-F98</f>
        <v>58464</v>
      </c>
      <c r="G117" s="166"/>
      <c r="H117" s="225">
        <f>'回答算出データシート2'!S10</f>
        <v>1133159</v>
      </c>
      <c r="I117" s="228">
        <f>F117/H117</f>
        <v>0.05159381869622886</v>
      </c>
      <c r="J117" s="228">
        <v>0.5</v>
      </c>
      <c r="K117" s="228">
        <f>J117*I117</f>
        <v>0.02579690934811443</v>
      </c>
    </row>
    <row r="119" spans="2:10" ht="11.25">
      <c r="B119" s="5" t="s">
        <v>414</v>
      </c>
      <c r="H119" s="230"/>
      <c r="J119" s="229"/>
    </row>
    <row r="120" spans="3:10" ht="11.25">
      <c r="C120" s="5" t="s">
        <v>377</v>
      </c>
      <c r="F120" s="5" t="s">
        <v>398</v>
      </c>
      <c r="G120" s="257">
        <v>0.01</v>
      </c>
      <c r="H120" s="230" t="s">
        <v>399</v>
      </c>
      <c r="J120" s="229"/>
    </row>
    <row r="121" spans="8:10" ht="11.25">
      <c r="H121" s="230"/>
      <c r="J121" s="229"/>
    </row>
    <row r="123" ht="11.25">
      <c r="B123" s="5" t="str">
        <f>'質問'!B79</f>
        <v>Ｑ１２．昼食時・退庁時はデスクライトを消していますか？</v>
      </c>
    </row>
    <row r="125" ht="11.25">
      <c r="C125" s="5" t="s">
        <v>231</v>
      </c>
    </row>
    <row r="126" ht="11.25">
      <c r="D126" s="5" t="s">
        <v>606</v>
      </c>
    </row>
    <row r="127" ht="11.25">
      <c r="D127" s="5" t="s">
        <v>428</v>
      </c>
    </row>
    <row r="128" ht="11.25">
      <c r="D128" s="5" t="s">
        <v>600</v>
      </c>
    </row>
    <row r="130" ht="11.25">
      <c r="C130" s="5" t="s">
        <v>244</v>
      </c>
    </row>
    <row r="131" ht="11.25">
      <c r="D131" s="5" t="s">
        <v>440</v>
      </c>
    </row>
    <row r="132" ht="12" thickBot="1"/>
    <row r="133" spans="4:32" ht="11.25">
      <c r="D133" s="147" t="s">
        <v>226</v>
      </c>
      <c r="E133" s="150"/>
      <c r="F133" s="249" t="s">
        <v>230</v>
      </c>
      <c r="G133" s="249" t="s">
        <v>264</v>
      </c>
      <c r="H133" s="150"/>
      <c r="I133" s="147" t="s">
        <v>740</v>
      </c>
      <c r="J133" s="249" t="s">
        <v>430</v>
      </c>
      <c r="K133" s="249" t="s">
        <v>433</v>
      </c>
      <c r="L133" s="249" t="s">
        <v>431</v>
      </c>
      <c r="M133" s="154"/>
      <c r="N133" s="121"/>
      <c r="O133" s="121"/>
      <c r="P133" s="121"/>
      <c r="Q133" s="121"/>
      <c r="R133" s="121"/>
      <c r="S133" s="121"/>
      <c r="T133" s="121"/>
      <c r="U133" s="121"/>
      <c r="V133" s="121"/>
      <c r="W133" s="121"/>
      <c r="X133" s="121"/>
      <c r="Y133" s="121"/>
      <c r="Z133" s="121"/>
      <c r="AA133" s="121"/>
      <c r="AB133" s="121"/>
      <c r="AC133" s="121"/>
      <c r="AD133" s="121"/>
      <c r="AE133" s="121"/>
      <c r="AF133" s="121"/>
    </row>
    <row r="134" spans="4:32" ht="12" thickBot="1">
      <c r="D134" s="156"/>
      <c r="E134" s="160"/>
      <c r="F134" s="250"/>
      <c r="G134" s="156" t="s">
        <v>429</v>
      </c>
      <c r="H134" s="160"/>
      <c r="I134" s="156" t="s">
        <v>243</v>
      </c>
      <c r="J134" s="250" t="s">
        <v>742</v>
      </c>
      <c r="K134" s="250"/>
      <c r="L134" s="250"/>
      <c r="M134" s="154"/>
      <c r="N134" s="121"/>
      <c r="O134" s="121"/>
      <c r="P134" s="121"/>
      <c r="Q134" s="121"/>
      <c r="R134" s="121"/>
      <c r="S134" s="121"/>
      <c r="T134" s="121"/>
      <c r="U134" s="121"/>
      <c r="V134" s="121"/>
      <c r="W134" s="121"/>
      <c r="X134" s="121"/>
      <c r="Y134" s="121"/>
      <c r="Z134" s="121"/>
      <c r="AA134" s="121"/>
      <c r="AB134" s="121"/>
      <c r="AC134" s="121"/>
      <c r="AD134" s="121"/>
      <c r="AE134" s="121"/>
      <c r="AF134" s="121"/>
    </row>
    <row r="135" spans="4:32" ht="12" thickBot="1">
      <c r="D135" s="168" t="s">
        <v>227</v>
      </c>
      <c r="E135" s="169"/>
      <c r="F135" s="252">
        <f>'回答算出データシート１'!H15</f>
        <v>0.6</v>
      </c>
      <c r="G135" s="168">
        <v>5</v>
      </c>
      <c r="H135" s="170" t="s">
        <v>249</v>
      </c>
      <c r="I135" s="168">
        <v>1</v>
      </c>
      <c r="J135" s="184">
        <v>200</v>
      </c>
      <c r="K135" s="252">
        <v>0.5</v>
      </c>
      <c r="L135" s="252">
        <v>0.5</v>
      </c>
      <c r="M135" s="154"/>
      <c r="N135" s="251"/>
      <c r="O135" s="121"/>
      <c r="P135" s="121"/>
      <c r="Q135" s="121"/>
      <c r="R135" s="121"/>
      <c r="S135" s="121"/>
      <c r="T135" s="121"/>
      <c r="U135" s="121"/>
      <c r="V135" s="121"/>
      <c r="W135" s="121"/>
      <c r="X135" s="121"/>
      <c r="Y135" s="121"/>
      <c r="Z135" s="121"/>
      <c r="AA135" s="121"/>
      <c r="AB135" s="121"/>
      <c r="AC135" s="121"/>
      <c r="AD135" s="121"/>
      <c r="AE135" s="121"/>
      <c r="AF135" s="121"/>
    </row>
    <row r="136" spans="13:32" ht="11.25">
      <c r="M136" s="121"/>
      <c r="N136" s="121"/>
      <c r="O136" s="121"/>
      <c r="P136" s="121"/>
      <c r="Q136" s="121"/>
      <c r="R136" s="121"/>
      <c r="S136" s="121"/>
      <c r="T136" s="121"/>
      <c r="U136" s="121"/>
      <c r="V136" s="121"/>
      <c r="W136" s="121"/>
      <c r="X136" s="121"/>
      <c r="Y136" s="121"/>
      <c r="Z136" s="121"/>
      <c r="AA136" s="121"/>
      <c r="AB136" s="121"/>
      <c r="AC136" s="121"/>
      <c r="AD136" s="121"/>
      <c r="AE136" s="121"/>
      <c r="AF136" s="121"/>
    </row>
    <row r="138" ht="11.25">
      <c r="B138" s="5" t="str">
        <f>'質問'!B84</f>
        <v>Ｑ１３．退庁時はパソコンの電源を消していますか？</v>
      </c>
    </row>
    <row r="140" ht="11.25">
      <c r="C140" s="5" t="s">
        <v>231</v>
      </c>
    </row>
    <row r="141" ht="11.25">
      <c r="D141" s="5" t="s">
        <v>607</v>
      </c>
    </row>
    <row r="142" ht="11.25">
      <c r="D142" s="5" t="s">
        <v>428</v>
      </c>
    </row>
    <row r="143" ht="11.25">
      <c r="D143" s="5" t="s">
        <v>600</v>
      </c>
    </row>
    <row r="145" ht="11.25">
      <c r="C145" s="5" t="s">
        <v>244</v>
      </c>
    </row>
    <row r="146" ht="11.25">
      <c r="D146" s="5" t="s">
        <v>435</v>
      </c>
    </row>
    <row r="147" ht="12" thickBot="1"/>
    <row r="148" spans="4:32" ht="11.25">
      <c r="D148" s="147" t="s">
        <v>226</v>
      </c>
      <c r="E148" s="150"/>
      <c r="F148" s="249" t="s">
        <v>230</v>
      </c>
      <c r="G148" s="249" t="s">
        <v>264</v>
      </c>
      <c r="H148" s="150"/>
      <c r="I148" s="147" t="s">
        <v>73</v>
      </c>
      <c r="J148" s="249" t="s">
        <v>430</v>
      </c>
      <c r="K148" s="249" t="s">
        <v>434</v>
      </c>
      <c r="L148" s="249" t="s">
        <v>78</v>
      </c>
      <c r="M148" s="154"/>
      <c r="N148" s="121"/>
      <c r="O148" s="121"/>
      <c r="P148" s="121"/>
      <c r="Q148" s="121"/>
      <c r="R148" s="121"/>
      <c r="S148" s="121"/>
      <c r="T148" s="121"/>
      <c r="U148" s="121"/>
      <c r="V148" s="121"/>
      <c r="W148" s="121"/>
      <c r="X148" s="121"/>
      <c r="Y148" s="121"/>
      <c r="Z148" s="121"/>
      <c r="AA148" s="121"/>
      <c r="AB148" s="121"/>
      <c r="AC148" s="121"/>
      <c r="AD148" s="121"/>
      <c r="AE148" s="121"/>
      <c r="AF148" s="121"/>
    </row>
    <row r="149" spans="4:32" ht="12" thickBot="1">
      <c r="D149" s="156"/>
      <c r="E149" s="160"/>
      <c r="F149" s="250"/>
      <c r="G149" s="156" t="s">
        <v>432</v>
      </c>
      <c r="H149" s="160"/>
      <c r="I149" s="156" t="s">
        <v>243</v>
      </c>
      <c r="J149" s="250" t="s">
        <v>742</v>
      </c>
      <c r="K149" s="250"/>
      <c r="L149" s="250"/>
      <c r="M149" s="154"/>
      <c r="N149" s="121"/>
      <c r="O149" s="121"/>
      <c r="P149" s="121"/>
      <c r="Q149" s="121"/>
      <c r="R149" s="121"/>
      <c r="S149" s="121"/>
      <c r="T149" s="121"/>
      <c r="U149" s="121"/>
      <c r="V149" s="121"/>
      <c r="W149" s="121"/>
      <c r="X149" s="121"/>
      <c r="Y149" s="121"/>
      <c r="Z149" s="121"/>
      <c r="AA149" s="121"/>
      <c r="AB149" s="121"/>
      <c r="AC149" s="121"/>
      <c r="AD149" s="121"/>
      <c r="AE149" s="121"/>
      <c r="AF149" s="121"/>
    </row>
    <row r="150" spans="4:32" ht="12" thickBot="1">
      <c r="D150" s="168" t="s">
        <v>227</v>
      </c>
      <c r="E150" s="169"/>
      <c r="F150" s="252">
        <f>F135</f>
        <v>0.6</v>
      </c>
      <c r="G150" s="168">
        <v>15</v>
      </c>
      <c r="H150" s="170" t="s">
        <v>249</v>
      </c>
      <c r="I150" s="168">
        <v>10</v>
      </c>
      <c r="J150" s="184">
        <v>200</v>
      </c>
      <c r="K150" s="252">
        <v>0.5</v>
      </c>
      <c r="L150" s="252">
        <v>0.5</v>
      </c>
      <c r="M150" s="154"/>
      <c r="N150" s="251"/>
      <c r="O150" s="121"/>
      <c r="P150" s="121"/>
      <c r="Q150" s="121"/>
      <c r="R150" s="121"/>
      <c r="S150" s="121"/>
      <c r="T150" s="121"/>
      <c r="U150" s="121"/>
      <c r="V150" s="121"/>
      <c r="W150" s="121"/>
      <c r="X150" s="121"/>
      <c r="Y150" s="121"/>
      <c r="Z150" s="121"/>
      <c r="AA150" s="121"/>
      <c r="AB150" s="121"/>
      <c r="AC150" s="121"/>
      <c r="AD150" s="121"/>
      <c r="AE150" s="121"/>
      <c r="AF150" s="121"/>
    </row>
    <row r="152" ht="11.25">
      <c r="B152" s="5" t="str">
        <f>'質問'!B89</f>
        <v>Ｑ１４．省エネ型のOA機器を選定していますか？</v>
      </c>
    </row>
    <row r="154" ht="11.25">
      <c r="C154" s="5" t="s">
        <v>231</v>
      </c>
    </row>
    <row r="155" ht="11.25">
      <c r="D155" s="5" t="s">
        <v>608</v>
      </c>
    </row>
    <row r="156" ht="11.25">
      <c r="D156" s="5" t="s">
        <v>579</v>
      </c>
    </row>
    <row r="157" ht="11.25">
      <c r="D157" s="5" t="s">
        <v>578</v>
      </c>
    </row>
    <row r="158" ht="11.25">
      <c r="D158" s="5" t="s">
        <v>600</v>
      </c>
    </row>
    <row r="159" ht="12" thickBot="1"/>
    <row r="160" spans="4:32" ht="11.25">
      <c r="D160" s="147" t="s">
        <v>226</v>
      </c>
      <c r="E160" s="150"/>
      <c r="F160" s="249" t="s">
        <v>230</v>
      </c>
      <c r="G160" s="249" t="s">
        <v>264</v>
      </c>
      <c r="H160" s="150"/>
      <c r="I160" s="147" t="s">
        <v>75</v>
      </c>
      <c r="J160" s="249" t="s">
        <v>430</v>
      </c>
      <c r="K160" s="249" t="s">
        <v>74</v>
      </c>
      <c r="L160" s="154"/>
      <c r="M160" s="121"/>
      <c r="N160" s="121"/>
      <c r="O160" s="121"/>
      <c r="P160" s="121"/>
      <c r="Q160" s="121"/>
      <c r="R160" s="121"/>
      <c r="S160" s="121"/>
      <c r="T160" s="121"/>
      <c r="U160" s="121"/>
      <c r="V160" s="121"/>
      <c r="W160" s="121"/>
      <c r="X160" s="121"/>
      <c r="Y160" s="121"/>
      <c r="Z160" s="121"/>
      <c r="AA160" s="121"/>
      <c r="AB160" s="121"/>
      <c r="AC160" s="121"/>
      <c r="AD160" s="121"/>
      <c r="AE160" s="121"/>
      <c r="AF160" s="121"/>
    </row>
    <row r="161" spans="4:32" ht="12" thickBot="1">
      <c r="D161" s="156"/>
      <c r="E161" s="160"/>
      <c r="F161" s="250"/>
      <c r="G161" s="156" t="s">
        <v>575</v>
      </c>
      <c r="H161" s="160"/>
      <c r="I161" s="156" t="s">
        <v>243</v>
      </c>
      <c r="J161" s="250" t="s">
        <v>742</v>
      </c>
      <c r="K161" s="250"/>
      <c r="L161" s="154"/>
      <c r="M161" s="121"/>
      <c r="N161" s="121"/>
      <c r="O161" s="121"/>
      <c r="P161" s="121"/>
      <c r="Q161" s="121"/>
      <c r="R161" s="121"/>
      <c r="S161" s="121"/>
      <c r="T161" s="121"/>
      <c r="U161" s="121"/>
      <c r="V161" s="121"/>
      <c r="W161" s="121"/>
      <c r="X161" s="121"/>
      <c r="Y161" s="121"/>
      <c r="Z161" s="121"/>
      <c r="AA161" s="121"/>
      <c r="AB161" s="121"/>
      <c r="AC161" s="121"/>
      <c r="AD161" s="121"/>
      <c r="AE161" s="121"/>
      <c r="AF161" s="121"/>
    </row>
    <row r="162" spans="4:32" ht="12" thickBot="1">
      <c r="D162" s="168" t="s">
        <v>227</v>
      </c>
      <c r="E162" s="169"/>
      <c r="F162" s="252">
        <f>F150</f>
        <v>0.6</v>
      </c>
      <c r="G162" s="168">
        <v>5</v>
      </c>
      <c r="H162" s="170" t="s">
        <v>249</v>
      </c>
      <c r="I162" s="168">
        <v>10</v>
      </c>
      <c r="J162" s="184">
        <v>200</v>
      </c>
      <c r="K162" s="252">
        <v>0.5</v>
      </c>
      <c r="L162" s="253"/>
      <c r="M162" s="121"/>
      <c r="N162" s="251"/>
      <c r="O162" s="121"/>
      <c r="P162" s="121"/>
      <c r="Q162" s="121"/>
      <c r="R162" s="121"/>
      <c r="S162" s="121"/>
      <c r="T162" s="121"/>
      <c r="U162" s="121"/>
      <c r="V162" s="121"/>
      <c r="W162" s="121"/>
      <c r="X162" s="121"/>
      <c r="Y162" s="121"/>
      <c r="Z162" s="121"/>
      <c r="AA162" s="121"/>
      <c r="AB162" s="121"/>
      <c r="AC162" s="121"/>
      <c r="AD162" s="121"/>
      <c r="AE162" s="121"/>
      <c r="AF162" s="121"/>
    </row>
    <row r="164" ht="11.25">
      <c r="C164" s="5" t="s">
        <v>244</v>
      </c>
    </row>
    <row r="165" spans="4:13" ht="11.25">
      <c r="D165" s="5" t="s">
        <v>644</v>
      </c>
      <c r="L165" s="5">
        <v>0.1</v>
      </c>
      <c r="M165" s="5" t="s">
        <v>574</v>
      </c>
    </row>
    <row r="167" ht="11.25">
      <c r="B167" s="5" t="str">
        <f>'質問'!B94</f>
        <v>Ｑ１５．パソコンは、液晶ディスプレイ（ノート型を含む）ですか？</v>
      </c>
    </row>
    <row r="169" ht="11.25">
      <c r="C169" s="5" t="s">
        <v>231</v>
      </c>
    </row>
    <row r="170" ht="11.25">
      <c r="D170" s="5" t="s">
        <v>609</v>
      </c>
    </row>
    <row r="171" ht="11.25">
      <c r="D171" s="5" t="s">
        <v>577</v>
      </c>
    </row>
    <row r="172" ht="11.25">
      <c r="D172" s="5" t="s">
        <v>576</v>
      </c>
    </row>
    <row r="173" ht="11.25">
      <c r="D173" s="5" t="s">
        <v>600</v>
      </c>
    </row>
    <row r="174" ht="12" thickBot="1"/>
    <row r="175" spans="4:14" ht="11.25">
      <c r="D175" s="147" t="s">
        <v>226</v>
      </c>
      <c r="E175" s="150"/>
      <c r="F175" s="249" t="s">
        <v>230</v>
      </c>
      <c r="G175" s="249" t="s">
        <v>264</v>
      </c>
      <c r="H175" s="150"/>
      <c r="I175" s="147" t="s">
        <v>75</v>
      </c>
      <c r="J175" s="249" t="s">
        <v>430</v>
      </c>
      <c r="K175" s="249" t="s">
        <v>74</v>
      </c>
      <c r="L175" s="154"/>
      <c r="M175" s="121"/>
      <c r="N175" s="121"/>
    </row>
    <row r="176" spans="4:14" ht="12" thickBot="1">
      <c r="D176" s="156"/>
      <c r="E176" s="160"/>
      <c r="F176" s="250"/>
      <c r="G176" s="156" t="s">
        <v>432</v>
      </c>
      <c r="H176" s="160"/>
      <c r="I176" s="156" t="s">
        <v>243</v>
      </c>
      <c r="J176" s="250" t="s">
        <v>742</v>
      </c>
      <c r="K176" s="250"/>
      <c r="L176" s="154"/>
      <c r="M176" s="121"/>
      <c r="N176" s="121"/>
    </row>
    <row r="177" spans="4:14" ht="12" thickBot="1">
      <c r="D177" s="168" t="s">
        <v>227</v>
      </c>
      <c r="E177" s="169"/>
      <c r="F177" s="252">
        <f>F162</f>
        <v>0.6</v>
      </c>
      <c r="G177" s="168">
        <v>5</v>
      </c>
      <c r="H177" s="170" t="s">
        <v>249</v>
      </c>
      <c r="I177" s="168">
        <v>10</v>
      </c>
      <c r="J177" s="184">
        <v>200</v>
      </c>
      <c r="K177" s="252">
        <v>0.8</v>
      </c>
      <c r="L177" s="253"/>
      <c r="M177" s="121"/>
      <c r="N177" s="251"/>
    </row>
    <row r="179" ht="11.25">
      <c r="C179" s="5" t="s">
        <v>244</v>
      </c>
    </row>
    <row r="180" ht="11.25">
      <c r="D180" s="5" t="s">
        <v>592</v>
      </c>
    </row>
    <row r="181" ht="12" thickBot="1"/>
    <row r="182" spans="4:7" ht="12" thickBot="1">
      <c r="D182" s="168" t="s">
        <v>580</v>
      </c>
      <c r="E182" s="170"/>
      <c r="F182" s="168" t="s">
        <v>583</v>
      </c>
      <c r="G182" s="170"/>
    </row>
    <row r="183" spans="4:7" ht="11.25">
      <c r="D183" s="165" t="s">
        <v>581</v>
      </c>
      <c r="E183" s="163"/>
      <c r="F183" s="165">
        <v>500</v>
      </c>
      <c r="G183" s="163" t="s">
        <v>584</v>
      </c>
    </row>
    <row r="184" spans="4:9" ht="12" thickBot="1">
      <c r="D184" s="166" t="s">
        <v>582</v>
      </c>
      <c r="E184" s="171"/>
      <c r="F184" s="166">
        <v>100</v>
      </c>
      <c r="G184" s="171" t="s">
        <v>584</v>
      </c>
      <c r="H184" s="5" t="s">
        <v>247</v>
      </c>
      <c r="I184" s="5">
        <f>(F183-F184)/F183</f>
        <v>0.8</v>
      </c>
    </row>
    <row r="186" ht="11.25">
      <c r="B186" s="5" t="str">
        <f>'質問'!B99</f>
        <v>Ｑ１６．コピー機の省電力モードは使っていますか？</v>
      </c>
    </row>
    <row r="188" ht="11.25">
      <c r="C188" s="5" t="s">
        <v>231</v>
      </c>
    </row>
    <row r="189" ht="11.25">
      <c r="D189" s="5" t="s">
        <v>627</v>
      </c>
    </row>
    <row r="190" ht="11.25">
      <c r="D190" s="5" t="s">
        <v>585</v>
      </c>
    </row>
    <row r="191" ht="11.25">
      <c r="D191" s="5" t="s">
        <v>587</v>
      </c>
    </row>
    <row r="192" ht="11.25">
      <c r="D192" s="5" t="s">
        <v>588</v>
      </c>
    </row>
    <row r="193" ht="11.25">
      <c r="D193" s="5" t="s">
        <v>600</v>
      </c>
    </row>
    <row r="194" ht="12" thickBot="1"/>
    <row r="195" spans="4:14" ht="11.25">
      <c r="D195" s="147" t="s">
        <v>226</v>
      </c>
      <c r="E195" s="150"/>
      <c r="F195" s="249" t="s">
        <v>230</v>
      </c>
      <c r="G195" s="249" t="s">
        <v>264</v>
      </c>
      <c r="H195" s="150"/>
      <c r="I195" s="147" t="s">
        <v>75</v>
      </c>
      <c r="J195" s="249" t="s">
        <v>430</v>
      </c>
      <c r="K195" s="249" t="s">
        <v>589</v>
      </c>
      <c r="L195" s="154"/>
      <c r="M195" s="121"/>
      <c r="N195" s="121"/>
    </row>
    <row r="196" spans="4:14" ht="12" thickBot="1">
      <c r="D196" s="156"/>
      <c r="E196" s="160"/>
      <c r="F196" s="250"/>
      <c r="G196" s="156" t="s">
        <v>586</v>
      </c>
      <c r="H196" s="160"/>
      <c r="I196" s="156" t="s">
        <v>243</v>
      </c>
      <c r="J196" s="250" t="s">
        <v>742</v>
      </c>
      <c r="K196" s="250" t="s">
        <v>590</v>
      </c>
      <c r="L196" s="154"/>
      <c r="M196" s="121"/>
      <c r="N196" s="121"/>
    </row>
    <row r="197" spans="4:14" ht="12" thickBot="1">
      <c r="D197" s="168" t="s">
        <v>227</v>
      </c>
      <c r="E197" s="169"/>
      <c r="F197" s="252">
        <f>F177</f>
        <v>0.6</v>
      </c>
      <c r="G197" s="168">
        <v>10</v>
      </c>
      <c r="H197" s="170" t="s">
        <v>249</v>
      </c>
      <c r="I197" s="168">
        <v>10</v>
      </c>
      <c r="J197" s="184">
        <v>200</v>
      </c>
      <c r="K197" s="252">
        <v>0.2</v>
      </c>
      <c r="L197" s="253"/>
      <c r="M197" s="121"/>
      <c r="N197" s="251"/>
    </row>
    <row r="199" ht="11.25">
      <c r="C199" s="5" t="s">
        <v>244</v>
      </c>
    </row>
    <row r="200" ht="11.25">
      <c r="D200" s="5" t="s">
        <v>591</v>
      </c>
    </row>
    <row r="201" ht="12" thickBot="1"/>
    <row r="202" spans="4:7" ht="12" thickBot="1">
      <c r="D202" s="168" t="s">
        <v>594</v>
      </c>
      <c r="E202" s="170"/>
      <c r="F202" s="168" t="s">
        <v>583</v>
      </c>
      <c r="G202" s="170"/>
    </row>
    <row r="203" spans="4:7" ht="11.25">
      <c r="D203" s="165" t="s">
        <v>593</v>
      </c>
      <c r="E203" s="163"/>
      <c r="F203" s="239">
        <v>2000</v>
      </c>
      <c r="G203" s="163" t="s">
        <v>584</v>
      </c>
    </row>
    <row r="204" spans="4:9" ht="12" thickBot="1">
      <c r="D204" s="166" t="s">
        <v>589</v>
      </c>
      <c r="E204" s="171"/>
      <c r="F204" s="166">
        <v>400</v>
      </c>
      <c r="G204" s="171" t="s">
        <v>584</v>
      </c>
      <c r="H204" s="5" t="s">
        <v>247</v>
      </c>
      <c r="I204" s="5">
        <f>(F203-F204)/F203</f>
        <v>0.8</v>
      </c>
    </row>
    <row r="206" ht="11.25">
      <c r="B206" s="5" t="str">
        <f>'質問'!B105</f>
        <v>Ｑ１７．職員に省エネ活動は呼びかけていますか？
　例：省エネポスターを貼るなど</v>
      </c>
    </row>
    <row r="208" ht="11.25">
      <c r="C208" s="5" t="s">
        <v>231</v>
      </c>
    </row>
    <row r="209" ht="11.25">
      <c r="D209" s="5" t="s">
        <v>642</v>
      </c>
    </row>
    <row r="210" ht="11.25">
      <c r="D210" s="5" t="s">
        <v>643</v>
      </c>
    </row>
    <row r="211" ht="12" thickBot="1"/>
    <row r="212" spans="5:11" ht="11.25">
      <c r="E212" s="249" t="s">
        <v>264</v>
      </c>
      <c r="F212" s="148"/>
      <c r="G212" s="150"/>
      <c r="H212" s="121"/>
      <c r="I212" s="121"/>
      <c r="J212" s="121"/>
      <c r="K212" s="121"/>
    </row>
    <row r="213" spans="5:11" ht="12" thickBot="1">
      <c r="E213" s="156" t="s">
        <v>640</v>
      </c>
      <c r="F213" s="159"/>
      <c r="G213" s="160"/>
      <c r="H213" s="121"/>
      <c r="I213" s="121"/>
      <c r="J213" s="121"/>
      <c r="K213" s="121"/>
    </row>
    <row r="214" spans="5:11" ht="12" thickBot="1">
      <c r="E214" s="168"/>
      <c r="F214" s="256">
        <v>1700</v>
      </c>
      <c r="G214" s="170" t="s">
        <v>641</v>
      </c>
      <c r="H214" s="121"/>
      <c r="I214" s="121"/>
      <c r="J214" s="121"/>
      <c r="K214" s="251"/>
    </row>
    <row r="216" ht="11.25">
      <c r="C216" s="5" t="s">
        <v>244</v>
      </c>
    </row>
    <row r="217" spans="4:13" ht="11.25">
      <c r="D217" s="5" t="s">
        <v>647</v>
      </c>
      <c r="L217" s="5">
        <v>0.01</v>
      </c>
      <c r="M217" s="5" t="s">
        <v>427</v>
      </c>
    </row>
    <row r="219" ht="11.25">
      <c r="B219" s="5" t="str">
        <f>'質問'!B109</f>
        <v>Ｑ１８．最寄階への移動は、階段を使うように呼びかけていますか？</v>
      </c>
    </row>
    <row r="220" ht="11.25">
      <c r="B220" s="5" t="s">
        <v>540</v>
      </c>
    </row>
    <row r="222" ht="11.25">
      <c r="C222" s="5" t="s">
        <v>231</v>
      </c>
    </row>
    <row r="223" ht="11.25">
      <c r="D223" s="5" t="s">
        <v>415</v>
      </c>
    </row>
    <row r="224" ht="11.25">
      <c r="D224" s="5" t="s">
        <v>416</v>
      </c>
    </row>
    <row r="226" ht="11.25">
      <c r="D226" s="5" t="s">
        <v>417</v>
      </c>
    </row>
    <row r="227" ht="11.25">
      <c r="E227" s="5" t="s">
        <v>418</v>
      </c>
    </row>
    <row r="228" ht="11.25">
      <c r="F228" s="5" t="s">
        <v>425</v>
      </c>
    </row>
    <row r="229" ht="12" thickBot="1"/>
    <row r="230" spans="6:10" ht="12" thickBot="1">
      <c r="F230" s="168" t="s">
        <v>422</v>
      </c>
      <c r="G230" s="169"/>
      <c r="H230" s="170"/>
      <c r="I230" s="170" t="s">
        <v>220</v>
      </c>
      <c r="J230" s="184" t="s">
        <v>241</v>
      </c>
    </row>
    <row r="231" spans="6:10" ht="11.25">
      <c r="F231" s="165" t="s">
        <v>420</v>
      </c>
      <c r="G231" s="162"/>
      <c r="H231" s="163"/>
      <c r="I231" s="246">
        <v>0</v>
      </c>
      <c r="J231" s="180" t="s">
        <v>424</v>
      </c>
    </row>
    <row r="232" spans="6:10" ht="11.25">
      <c r="F232" s="164" t="s">
        <v>421</v>
      </c>
      <c r="G232" s="118"/>
      <c r="H232" s="153"/>
      <c r="I232" s="247">
        <v>0.2</v>
      </c>
      <c r="J232" s="181"/>
    </row>
    <row r="233" spans="6:10" ht="12" thickBot="1">
      <c r="F233" s="166" t="s">
        <v>423</v>
      </c>
      <c r="G233" s="167"/>
      <c r="H233" s="171"/>
      <c r="I233" s="248">
        <v>0.3</v>
      </c>
      <c r="J233" s="182"/>
    </row>
    <row r="235" ht="11.25">
      <c r="E235" s="5" t="s">
        <v>426</v>
      </c>
    </row>
    <row r="238" ht="11.25">
      <c r="C238" s="5" t="s">
        <v>244</v>
      </c>
    </row>
    <row r="239" ht="11.25">
      <c r="D239" s="5" t="str">
        <f>'質問'!B109</f>
        <v>Ｑ１８．最寄階への移動は、階段を使うように呼びかけていますか？</v>
      </c>
    </row>
    <row r="240" spans="5:12" ht="11.25">
      <c r="E240" s="5" t="s">
        <v>646</v>
      </c>
      <c r="K240" s="5">
        <v>0.2</v>
      </c>
      <c r="L240" s="5" t="s">
        <v>427</v>
      </c>
    </row>
    <row r="242" spans="5:12" ht="11.25">
      <c r="E242" s="5" t="s">
        <v>645</v>
      </c>
      <c r="K242" s="5">
        <v>0.2</v>
      </c>
      <c r="L242" s="5" t="s">
        <v>427</v>
      </c>
    </row>
    <row r="245" ht="11.25">
      <c r="B245" s="5" t="str">
        <f>'質問'!B128</f>
        <v>Ｑ１９．照明器具の交換周期を決めていますか？</v>
      </c>
    </row>
    <row r="246" ht="11.25">
      <c r="B246" s="5" t="str">
        <f>'質問'!B132</f>
        <v>Ｑ２０．照明器具の清掃周期を決めていますか？</v>
      </c>
    </row>
    <row r="248" ht="11.25">
      <c r="C248" s="5" t="s">
        <v>231</v>
      </c>
    </row>
    <row r="249" ht="11.25">
      <c r="D249" s="5" t="s">
        <v>595</v>
      </c>
    </row>
    <row r="250" ht="11.25">
      <c r="D250" s="5" t="s">
        <v>224</v>
      </c>
    </row>
    <row r="251" ht="11.25">
      <c r="D251" s="5" t="s">
        <v>596</v>
      </c>
    </row>
    <row r="252" ht="12" thickBot="1"/>
    <row r="253" spans="4:10" ht="11.25">
      <c r="D253" s="147" t="s">
        <v>597</v>
      </c>
      <c r="E253" s="150"/>
      <c r="F253" s="249" t="s">
        <v>230</v>
      </c>
      <c r="G253" s="147" t="s">
        <v>598</v>
      </c>
      <c r="H253" s="150"/>
      <c r="I253" s="147" t="s">
        <v>755</v>
      </c>
      <c r="J253" s="150"/>
    </row>
    <row r="254" spans="4:10" ht="12" thickBot="1">
      <c r="D254" s="156"/>
      <c r="E254" s="160"/>
      <c r="F254" s="250"/>
      <c r="G254" s="156" t="s">
        <v>429</v>
      </c>
      <c r="H254" s="160"/>
      <c r="I254" s="156"/>
      <c r="J254" s="160"/>
    </row>
    <row r="255" spans="4:10" ht="11.25">
      <c r="D255" s="151" t="s">
        <v>227</v>
      </c>
      <c r="E255" s="152"/>
      <c r="F255" s="173">
        <v>0.6</v>
      </c>
      <c r="G255" s="151">
        <v>20</v>
      </c>
      <c r="H255" s="152" t="s">
        <v>249</v>
      </c>
      <c r="I255" s="254">
        <v>2000</v>
      </c>
      <c r="J255" s="152" t="s">
        <v>240</v>
      </c>
    </row>
    <row r="256" spans="4:10" ht="11.25">
      <c r="D256" s="164" t="s">
        <v>228</v>
      </c>
      <c r="E256" s="153"/>
      <c r="F256" s="175">
        <v>0.05</v>
      </c>
      <c r="G256" s="164">
        <v>15</v>
      </c>
      <c r="H256" s="153" t="s">
        <v>250</v>
      </c>
      <c r="I256" s="240">
        <v>2000</v>
      </c>
      <c r="J256" s="153" t="s">
        <v>240</v>
      </c>
    </row>
    <row r="257" spans="4:10" ht="11.25">
      <c r="D257" s="164" t="s">
        <v>229</v>
      </c>
      <c r="E257" s="153"/>
      <c r="F257" s="175">
        <v>0.02</v>
      </c>
      <c r="G257" s="164">
        <v>15</v>
      </c>
      <c r="H257" s="153" t="s">
        <v>251</v>
      </c>
      <c r="I257" s="240">
        <v>1000</v>
      </c>
      <c r="J257" s="153" t="s">
        <v>240</v>
      </c>
    </row>
    <row r="258" spans="4:10" ht="12" thickBot="1">
      <c r="D258" s="166" t="s">
        <v>252</v>
      </c>
      <c r="E258" s="171"/>
      <c r="F258" s="177">
        <v>0.03</v>
      </c>
      <c r="G258" s="166">
        <v>20</v>
      </c>
      <c r="H258" s="171" t="s">
        <v>253</v>
      </c>
      <c r="I258" s="255">
        <v>1000</v>
      </c>
      <c r="J258" s="171" t="s">
        <v>240</v>
      </c>
    </row>
    <row r="260" ht="11.25">
      <c r="C260" s="5" t="s">
        <v>244</v>
      </c>
    </row>
    <row r="261" ht="11.25">
      <c r="D261" s="5" t="str">
        <f>'質問'!B128</f>
        <v>Ｑ１９．照明器具の交換周期を決めていますか？</v>
      </c>
    </row>
    <row r="262" ht="11.25">
      <c r="E262" s="5" t="s">
        <v>601</v>
      </c>
    </row>
    <row r="263" ht="11.25">
      <c r="E263" s="5" t="s">
        <v>602</v>
      </c>
    </row>
    <row r="264" spans="5:9" ht="11.25">
      <c r="E264" s="5" t="s">
        <v>599</v>
      </c>
      <c r="H264" s="5">
        <v>0.1</v>
      </c>
      <c r="I264" s="5" t="s">
        <v>574</v>
      </c>
    </row>
    <row r="265" ht="11.25">
      <c r="E265" s="5" t="s">
        <v>442</v>
      </c>
    </row>
    <row r="266" ht="11.25">
      <c r="E266" s="5" t="s">
        <v>445</v>
      </c>
    </row>
    <row r="268" ht="11.25">
      <c r="D268" s="5" t="str">
        <f>'質問'!B132</f>
        <v>Ｑ２０．照明器具の清掃周期を決めていますか？</v>
      </c>
    </row>
    <row r="269" ht="11.25">
      <c r="E269" s="5" t="s">
        <v>603</v>
      </c>
    </row>
    <row r="270" ht="11.25">
      <c r="E270" s="5" t="s">
        <v>604</v>
      </c>
    </row>
    <row r="271" spans="5:9" ht="11.25">
      <c r="E271" s="5" t="s">
        <v>605</v>
      </c>
      <c r="H271" s="5">
        <v>0.1</v>
      </c>
      <c r="I271" s="5" t="s">
        <v>574</v>
      </c>
    </row>
    <row r="272" ht="11.25">
      <c r="E272" s="5" t="s">
        <v>442</v>
      </c>
    </row>
    <row r="273" ht="11.25">
      <c r="E273" s="5" t="s">
        <v>445</v>
      </c>
    </row>
    <row r="275" ht="11.25">
      <c r="B275" s="5" t="str">
        <f>'質問'!B136</f>
        <v>Ｑ２１．空調機のフィルター清掃（交換）周期を決めていますか？</v>
      </c>
    </row>
    <row r="277" ht="11.25">
      <c r="C277" s="5" t="s">
        <v>231</v>
      </c>
    </row>
    <row r="278" ht="11.25">
      <c r="D278" s="5" t="s">
        <v>628</v>
      </c>
    </row>
    <row r="279" ht="11.25">
      <c r="D279" s="5" t="s">
        <v>629</v>
      </c>
    </row>
    <row r="280" ht="11.25">
      <c r="D280" s="5" t="s">
        <v>630</v>
      </c>
    </row>
    <row r="281" ht="11.25">
      <c r="D281" s="5" t="s">
        <v>600</v>
      </c>
    </row>
    <row r="282" ht="11.25">
      <c r="D282" s="5" t="s">
        <v>636</v>
      </c>
    </row>
    <row r="283" ht="12" thickBot="1"/>
    <row r="284" spans="4:14" ht="11.25">
      <c r="D284" s="147" t="s">
        <v>226</v>
      </c>
      <c r="E284" s="150"/>
      <c r="F284" s="249" t="s">
        <v>230</v>
      </c>
      <c r="G284" s="249" t="s">
        <v>264</v>
      </c>
      <c r="H284" s="150"/>
      <c r="I284" s="147" t="s">
        <v>632</v>
      </c>
      <c r="J284" s="147" t="s">
        <v>635</v>
      </c>
      <c r="K284" s="249" t="s">
        <v>634</v>
      </c>
      <c r="M284" s="121"/>
      <c r="N284" s="121"/>
    </row>
    <row r="285" spans="4:14" ht="12" thickBot="1">
      <c r="D285" s="156"/>
      <c r="E285" s="160"/>
      <c r="F285" s="250"/>
      <c r="G285" s="156" t="s">
        <v>631</v>
      </c>
      <c r="H285" s="160"/>
      <c r="I285" s="156" t="s">
        <v>633</v>
      </c>
      <c r="J285" s="156"/>
      <c r="K285" s="250" t="s">
        <v>240</v>
      </c>
      <c r="M285" s="121"/>
      <c r="N285" s="121"/>
    </row>
    <row r="286" spans="4:14" ht="12" thickBot="1">
      <c r="D286" s="168" t="s">
        <v>227</v>
      </c>
      <c r="E286" s="169"/>
      <c r="F286" s="252">
        <f>F255</f>
        <v>0.6</v>
      </c>
      <c r="G286" s="168">
        <v>20</v>
      </c>
      <c r="H286" s="170" t="s">
        <v>249</v>
      </c>
      <c r="I286" s="168">
        <v>800</v>
      </c>
      <c r="J286" s="168">
        <v>0.3</v>
      </c>
      <c r="K286" s="184">
        <v>3000</v>
      </c>
      <c r="M286" s="121"/>
      <c r="N286" s="251"/>
    </row>
    <row r="288" ht="11.25">
      <c r="C288" s="5" t="s">
        <v>244</v>
      </c>
    </row>
    <row r="289" ht="11.25">
      <c r="D289" s="5" t="s">
        <v>637</v>
      </c>
    </row>
    <row r="290" ht="11.25">
      <c r="D290" s="5" t="s">
        <v>639</v>
      </c>
    </row>
    <row r="291" spans="4:9" ht="11.25">
      <c r="D291" s="5" t="s">
        <v>638</v>
      </c>
      <c r="H291" s="5">
        <v>0.01</v>
      </c>
      <c r="I291" s="5" t="s">
        <v>574</v>
      </c>
    </row>
    <row r="292" ht="11.25">
      <c r="D292" s="5" t="s">
        <v>443</v>
      </c>
    </row>
    <row r="293" ht="11.25">
      <c r="D293" s="5" t="s">
        <v>444</v>
      </c>
    </row>
  </sheetData>
  <sheetProtection/>
  <mergeCells count="3">
    <mergeCell ref="C58:E58"/>
    <mergeCell ref="F58:G58"/>
    <mergeCell ref="H58:I58"/>
  </mergeCells>
  <hyperlinks>
    <hyperlink ref="G27" r:id="rId1" display="http://www.eccj.or.jp/b_tuning/2-1-7/index.html"/>
  </hyperlinks>
  <printOptions/>
  <pageMargins left="0.5905511811023623" right="0.3937007874015748" top="0.984251968503937" bottom="0.984251968503937" header="0.5118110236220472" footer="0.5118110236220472"/>
  <pageSetup horizontalDpi="600" verticalDpi="600" orientation="portrait" paperSize="9" r:id="rId2"/>
  <rowBreaks count="4" manualBreakCount="4">
    <brk id="59" max="255" man="1"/>
    <brk id="122" max="12" man="1"/>
    <brk id="185" max="12" man="1"/>
    <brk id="244"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2016-09-28T06:26:37Z</cp:lastPrinted>
  <dcterms:created xsi:type="dcterms:W3CDTF">2004-04-19T00:05:36Z</dcterms:created>
  <dcterms:modified xsi:type="dcterms:W3CDTF">2016-09-28T07:12:28Z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